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polak\Desktop\Podklady_výzvy_101_102\"/>
    </mc:Choice>
  </mc:AlternateContent>
  <xr:revisionPtr revIDLastSave="0" documentId="8_{67686F92-BCEC-4CA2-91E4-D9169F666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" sheetId="4" r:id="rId1"/>
    <sheet name="Roční bilance" sheetId="1" r:id="rId2"/>
    <sheet name="Měsíční bilance" sheetId="3" r:id="rId3"/>
    <sheet name="Data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5" i="2" l="1"/>
  <c r="B8" i="1" s="1"/>
  <c r="B6" i="2"/>
  <c r="B7" i="2"/>
  <c r="B8" i="2"/>
  <c r="B9" i="2"/>
  <c r="B10" i="2"/>
  <c r="B11" i="2"/>
  <c r="B12" i="2"/>
  <c r="B13" i="2"/>
  <c r="B14" i="2"/>
  <c r="B15" i="2"/>
  <c r="B16" i="2"/>
  <c r="B17" i="2"/>
  <c r="B4" i="2"/>
  <c r="AJ52" i="3" l="1"/>
  <c r="AI52" i="3"/>
  <c r="AH52" i="3"/>
  <c r="Z52" i="3"/>
  <c r="Y52" i="3"/>
  <c r="Z44" i="3"/>
  <c r="AJ41" i="3" l="1"/>
  <c r="AI41" i="3"/>
  <c r="AH41" i="3"/>
  <c r="Z41" i="3"/>
  <c r="Y41" i="3"/>
  <c r="AJ37" i="3"/>
  <c r="AI37" i="3"/>
  <c r="AH37" i="3"/>
  <c r="Z37" i="3"/>
  <c r="Y37" i="3"/>
  <c r="AJ33" i="3"/>
  <c r="AI33" i="3"/>
  <c r="AH33" i="3"/>
  <c r="Z33" i="3"/>
  <c r="Y33" i="3"/>
  <c r="AJ29" i="3"/>
  <c r="AI29" i="3"/>
  <c r="AH29" i="3"/>
  <c r="Z29" i="3"/>
  <c r="Y29" i="3"/>
  <c r="AJ25" i="3"/>
  <c r="AI25" i="3"/>
  <c r="AH25" i="3"/>
  <c r="Z25" i="3"/>
  <c r="Y25" i="3"/>
  <c r="AJ21" i="3"/>
  <c r="AI21" i="3"/>
  <c r="AH21" i="3"/>
  <c r="Z21" i="3"/>
  <c r="Y21" i="3"/>
  <c r="AJ17" i="3"/>
  <c r="AI17" i="3"/>
  <c r="AH17" i="3"/>
  <c r="Z17" i="3"/>
  <c r="Y17" i="3"/>
  <c r="AJ13" i="3"/>
  <c r="AI13" i="3"/>
  <c r="AH13" i="3"/>
  <c r="Z13" i="3"/>
  <c r="Y13" i="3"/>
  <c r="AH9" i="3"/>
  <c r="AI9" i="3"/>
  <c r="AJ9" i="3"/>
  <c r="Z9" i="3"/>
  <c r="Y9" i="3"/>
  <c r="C38" i="3"/>
  <c r="Z5" i="3" s="1"/>
  <c r="K38" i="3"/>
  <c r="AH5" i="3" s="1"/>
  <c r="L38" i="3"/>
  <c r="AI5" i="3" s="1"/>
  <c r="M38" i="3"/>
  <c r="AJ5" i="3" s="1"/>
  <c r="B38" i="3"/>
  <c r="Y5" i="3" s="1"/>
  <c r="B31" i="3"/>
  <c r="B27" i="3"/>
  <c r="B23" i="3"/>
  <c r="B19" i="3"/>
  <c r="B15" i="3"/>
  <c r="B30" i="1"/>
  <c r="B26" i="1"/>
  <c r="B22" i="1"/>
  <c r="B18" i="1"/>
  <c r="B36" i="1" l="1"/>
  <c r="H3" i="1" s="1"/>
  <c r="B9" i="3"/>
  <c r="C9" i="3"/>
  <c r="D9" i="3"/>
  <c r="D38" i="3" s="1"/>
  <c r="AA5" i="3" s="1"/>
  <c r="E9" i="3"/>
  <c r="F9" i="3"/>
  <c r="F38" i="3" s="1"/>
  <c r="AC5" i="3" s="1"/>
  <c r="G9" i="3"/>
  <c r="G38" i="3" s="1"/>
  <c r="AD5" i="3" s="1"/>
  <c r="H9" i="3"/>
  <c r="H38" i="3" s="1"/>
  <c r="AE5" i="3" s="1"/>
  <c r="I9" i="3"/>
  <c r="I38" i="3" s="1"/>
  <c r="AF5" i="3" s="1"/>
  <c r="J9" i="3"/>
  <c r="J38" i="3" s="1"/>
  <c r="AG5" i="3" s="1"/>
  <c r="K9" i="3"/>
  <c r="L9" i="3"/>
  <c r="M9" i="3"/>
  <c r="E38" i="3" l="1"/>
  <c r="AB5" i="3" s="1"/>
  <c r="B85" i="3"/>
  <c r="E87" i="3"/>
  <c r="E85" i="3"/>
  <c r="E86" i="3"/>
  <c r="C87" i="3"/>
  <c r="C85" i="3"/>
  <c r="C86" i="3"/>
  <c r="H87" i="3"/>
  <c r="H86" i="3"/>
  <c r="B87" i="3"/>
  <c r="B86" i="3"/>
  <c r="G87" i="3"/>
  <c r="G85" i="3"/>
  <c r="G86" i="3"/>
  <c r="D87" i="3"/>
  <c r="D85" i="3"/>
  <c r="D86" i="3"/>
  <c r="F87" i="3"/>
  <c r="F85" i="3"/>
  <c r="F86" i="3"/>
  <c r="C61" i="3"/>
  <c r="Z6" i="3" s="1"/>
  <c r="Z51" i="3" s="1"/>
  <c r="B61" i="3"/>
  <c r="Y6" i="3" s="1"/>
  <c r="Y51" i="3" s="1"/>
  <c r="B54" i="1"/>
  <c r="Z16" i="3" l="1"/>
  <c r="Z32" i="3"/>
  <c r="Z36" i="3"/>
  <c r="Z40" i="3"/>
  <c r="Z24" i="3"/>
  <c r="Z12" i="3"/>
  <c r="Z28" i="3"/>
  <c r="Z20" i="3"/>
  <c r="Y40" i="3"/>
  <c r="Y16" i="3"/>
  <c r="Y36" i="3"/>
  <c r="Y12" i="3"/>
  <c r="Y32" i="3"/>
  <c r="Y28" i="3"/>
  <c r="Y20" i="3"/>
  <c r="Y8" i="3"/>
  <c r="Y24" i="3"/>
  <c r="H7" i="1"/>
  <c r="H15" i="1" s="1"/>
  <c r="E61" i="3" l="1"/>
  <c r="AB6" i="3" s="1"/>
  <c r="D61" i="3"/>
  <c r="AA6" i="3" s="1"/>
  <c r="AA51" i="3" s="1"/>
  <c r="AA20" i="3" l="1"/>
  <c r="AA24" i="3"/>
  <c r="AA32" i="3"/>
  <c r="AA28" i="3"/>
  <c r="AA40" i="3"/>
  <c r="AA36" i="3"/>
  <c r="AA12" i="3"/>
  <c r="AA16" i="3"/>
  <c r="Q14" i="3"/>
  <c r="Y35" i="3" s="1"/>
  <c r="Q8" i="3"/>
  <c r="Y11" i="3" s="1"/>
  <c r="Q13" i="3"/>
  <c r="Y31" i="3" s="1"/>
  <c r="Q7" i="3"/>
  <c r="Q12" i="3"/>
  <c r="Y27" i="3" s="1"/>
  <c r="Q11" i="3"/>
  <c r="Y23" i="3" s="1"/>
  <c r="Q10" i="3"/>
  <c r="Y19" i="3" s="1"/>
  <c r="Q15" i="3"/>
  <c r="Q9" i="3"/>
  <c r="Y15" i="3" s="1"/>
  <c r="AA29" i="3" l="1"/>
  <c r="AB28" i="3" s="1"/>
  <c r="AB29" i="3" s="1"/>
  <c r="Y39" i="3"/>
  <c r="AA41" i="3" s="1"/>
  <c r="AA37" i="3"/>
  <c r="AB36" i="3" s="1"/>
  <c r="AB37" i="3" s="1"/>
  <c r="AA33" i="3"/>
  <c r="AA17" i="3"/>
  <c r="AA25" i="3"/>
  <c r="AA13" i="3"/>
  <c r="AB12" i="3" s="1"/>
  <c r="AB13" i="3" s="1"/>
  <c r="AA21" i="3"/>
  <c r="Z8" i="3"/>
  <c r="Y7" i="3"/>
  <c r="AA8" i="3"/>
  <c r="F61" i="3"/>
  <c r="AC6" i="3" s="1"/>
  <c r="AC28" i="3" l="1"/>
  <c r="AC29" i="3" s="1"/>
  <c r="AA9" i="3"/>
  <c r="AB8" i="3" s="1"/>
  <c r="AB9" i="3" s="1"/>
  <c r="AB20" i="3"/>
  <c r="AB21" i="3" s="1"/>
  <c r="AC12" i="3"/>
  <c r="AC13" i="3" s="1"/>
  <c r="AB40" i="3"/>
  <c r="AB41" i="3" s="1"/>
  <c r="AB24" i="3"/>
  <c r="AB25" i="3" s="1"/>
  <c r="AC36" i="3"/>
  <c r="AC37" i="3" s="1"/>
  <c r="AB16" i="3"/>
  <c r="AB17" i="3" s="1"/>
  <c r="AB32" i="3"/>
  <c r="AB33" i="3" s="1"/>
  <c r="G61" i="3"/>
  <c r="AD6" i="3" s="1"/>
  <c r="AD28" i="3" l="1"/>
  <c r="AD29" i="3" s="1"/>
  <c r="AD36" i="3"/>
  <c r="AD37" i="3" s="1"/>
  <c r="AD12" i="3"/>
  <c r="AD13" i="3" s="1"/>
  <c r="AC40" i="3"/>
  <c r="AC41" i="3" s="1"/>
  <c r="AD40" i="3" s="1"/>
  <c r="AD41" i="3" s="1"/>
  <c r="AC20" i="3"/>
  <c r="AC21" i="3" s="1"/>
  <c r="AC24" i="3"/>
  <c r="AC25" i="3" s="1"/>
  <c r="AC16" i="3"/>
  <c r="AC17" i="3" s="1"/>
  <c r="AC32" i="3"/>
  <c r="AC33" i="3" s="1"/>
  <c r="AD32" i="3" s="1"/>
  <c r="AD33" i="3" s="1"/>
  <c r="AC8" i="3"/>
  <c r="H61" i="3"/>
  <c r="AE6" i="3" s="1"/>
  <c r="AE36" i="3" l="1"/>
  <c r="AE37" i="3" s="1"/>
  <c r="AE28" i="3"/>
  <c r="AC9" i="3"/>
  <c r="AD8" i="3" s="1"/>
  <c r="AD16" i="3"/>
  <c r="AD17" i="3" s="1"/>
  <c r="AE16" i="3" s="1"/>
  <c r="AE17" i="3" s="1"/>
  <c r="AD20" i="3"/>
  <c r="AD21" i="3" s="1"/>
  <c r="AE20" i="3" s="1"/>
  <c r="AE21" i="3" s="1"/>
  <c r="AE32" i="3"/>
  <c r="AE33" i="3" s="1"/>
  <c r="AD24" i="3"/>
  <c r="AD25" i="3" s="1"/>
  <c r="AE24" i="3" s="1"/>
  <c r="AE25" i="3" s="1"/>
  <c r="AE40" i="3"/>
  <c r="AE41" i="3" s="1"/>
  <c r="AE12" i="3"/>
  <c r="I61" i="3"/>
  <c r="AF6" i="3" s="1"/>
  <c r="AF36" i="3" l="1"/>
  <c r="AF37" i="3" s="1"/>
  <c r="AF16" i="3"/>
  <c r="AF17" i="3" s="1"/>
  <c r="AF40" i="3"/>
  <c r="AF41" i="3" s="1"/>
  <c r="AF24" i="3"/>
  <c r="AF25" i="3" s="1"/>
  <c r="AD9" i="3"/>
  <c r="AF32" i="3"/>
  <c r="AF20" i="3"/>
  <c r="AE29" i="3"/>
  <c r="AF28" i="3" s="1"/>
  <c r="AF29" i="3" s="1"/>
  <c r="AE13" i="3"/>
  <c r="AF12" i="3" s="1"/>
  <c r="AF13" i="3" s="1"/>
  <c r="J61" i="3"/>
  <c r="AG6" i="3" s="1"/>
  <c r="AG36" i="3" l="1"/>
  <c r="AG37" i="3" s="1"/>
  <c r="AG24" i="3"/>
  <c r="AG25" i="3" s="1"/>
  <c r="AG12" i="3"/>
  <c r="AG13" i="3" s="1"/>
  <c r="AG40" i="3"/>
  <c r="AG41" i="3" s="1"/>
  <c r="AG28" i="3"/>
  <c r="AG29" i="3" s="1"/>
  <c r="AF21" i="3"/>
  <c r="AG20" i="3" s="1"/>
  <c r="AG21" i="3" s="1"/>
  <c r="AF33" i="3"/>
  <c r="AG32" i="3" s="1"/>
  <c r="AG33" i="3" s="1"/>
  <c r="AG16" i="3"/>
  <c r="AE8" i="3"/>
  <c r="K61" i="3"/>
  <c r="AH6" i="3" s="1"/>
  <c r="AH28" i="3" l="1"/>
  <c r="AH24" i="3"/>
  <c r="AH36" i="3"/>
  <c r="AH32" i="3"/>
  <c r="AH20" i="3"/>
  <c r="AH40" i="3"/>
  <c r="AG17" i="3"/>
  <c r="AH16" i="3" s="1"/>
  <c r="AH12" i="3"/>
  <c r="AE9" i="3"/>
  <c r="AF8" i="3" s="1"/>
  <c r="AF9" i="3" s="1"/>
  <c r="L61" i="3"/>
  <c r="AI6" i="3" s="1"/>
  <c r="AI51" i="3" s="1"/>
  <c r="M61" i="3"/>
  <c r="AJ6" i="3" s="1"/>
  <c r="AJ51" i="3" s="1"/>
  <c r="AI16" i="3" l="1"/>
  <c r="AI24" i="3"/>
  <c r="AI36" i="3"/>
  <c r="AI40" i="3"/>
  <c r="AI20" i="3"/>
  <c r="AI28" i="3"/>
  <c r="AI12" i="3"/>
  <c r="AI32" i="3"/>
  <c r="AJ20" i="3"/>
  <c r="AJ24" i="3"/>
  <c r="AJ12" i="3"/>
  <c r="AJ28" i="3"/>
  <c r="AJ32" i="3"/>
  <c r="AJ16" i="3"/>
  <c r="AJ36" i="3"/>
  <c r="AJ40" i="3"/>
  <c r="AG8" i="3"/>
  <c r="AG9" i="3" s="1"/>
  <c r="AI14" i="3" l="1"/>
  <c r="S8" i="3" s="1"/>
  <c r="AB14" i="3"/>
  <c r="R8" i="3" s="1"/>
  <c r="AB18" i="3"/>
  <c r="R9" i="3" s="1"/>
  <c r="AI42" i="3"/>
  <c r="S15" i="3" s="1"/>
  <c r="AB38" i="3"/>
  <c r="R14" i="3" s="1"/>
  <c r="AI38" i="3"/>
  <c r="S14" i="3" s="1"/>
  <c r="AI34" i="3"/>
  <c r="S13" i="3" s="1"/>
  <c r="AB34" i="3"/>
  <c r="R13" i="3" s="1"/>
  <c r="AI26" i="3"/>
  <c r="S11" i="3" s="1"/>
  <c r="AB26" i="3"/>
  <c r="R11" i="3" s="1"/>
  <c r="AB30" i="3"/>
  <c r="R12" i="3" s="1"/>
  <c r="AI30" i="3"/>
  <c r="S12" i="3" s="1"/>
  <c r="AB22" i="3"/>
  <c r="R10" i="3" s="1"/>
  <c r="AI22" i="3"/>
  <c r="S10" i="3" s="1"/>
  <c r="AB42" i="3"/>
  <c r="R15" i="3" s="1"/>
  <c r="AI18" i="3"/>
  <c r="S9" i="3" s="1"/>
  <c r="AH8" i="3"/>
  <c r="AI8" i="3" l="1"/>
  <c r="AJ8" i="3" s="1"/>
  <c r="AB10" i="3" l="1"/>
  <c r="R7" i="3" s="1"/>
  <c r="Z45" i="3" s="1"/>
  <c r="AI10" i="3"/>
  <c r="S7" i="3" s="1"/>
  <c r="Z46" i="3" l="1"/>
  <c r="AA46" i="3" s="1"/>
  <c r="AA47" i="3" s="1"/>
  <c r="Z48" i="3" l="1"/>
  <c r="AA48" i="3"/>
  <c r="Z47" i="3"/>
  <c r="AA49" i="3" l="1"/>
  <c r="Y50" i="3" s="1"/>
  <c r="R33" i="3" s="1"/>
  <c r="AA52" i="3" l="1"/>
  <c r="AB51" i="3" s="1"/>
  <c r="AB52" i="3" s="1"/>
  <c r="AC51" i="3" s="1"/>
  <c r="AC52" i="3" s="1"/>
  <c r="AD51" i="3" s="1"/>
  <c r="AD52" i="3" s="1"/>
  <c r="AE51" i="3" s="1"/>
  <c r="AE52" i="3" l="1"/>
  <c r="AF51" i="3" s="1"/>
  <c r="AF52" i="3" s="1"/>
  <c r="AG51" i="3" s="1"/>
  <c r="AG52" i="3" s="1"/>
  <c r="AH51" i="3" s="1"/>
  <c r="AB53" i="3" s="1"/>
  <c r="R34" i="3" s="1"/>
  <c r="AI53" i="3" l="1"/>
  <c r="R35" i="3" s="1"/>
</calcChain>
</file>

<file path=xl/sharedStrings.xml><?xml version="1.0" encoding="utf-8"?>
<sst xmlns="http://schemas.openxmlformats.org/spreadsheetml/2006/main" count="543" uniqueCount="219">
  <si>
    <t>VÝPOČET NA ZÁKLADĚ ROČNÍ BILANCE</t>
  </si>
  <si>
    <t>Dlouhodobý srážkový normál</t>
  </si>
  <si>
    <t>kraj:</t>
  </si>
  <si>
    <t>Hlavní město Praha</t>
  </si>
  <si>
    <t>Jihočeský kraj</t>
  </si>
  <si>
    <t>Jihomoravský kraj</t>
  </si>
  <si>
    <t>Karlovarský kraj</t>
  </si>
  <si>
    <t>Královehradecký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</si>
  <si>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</si>
  <si>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</si>
  <si>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</si>
  <si>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</si>
  <si>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</si>
  <si>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</si>
  <si>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</si>
  <si>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Vysočina</t>
  </si>
  <si>
    <t>Zlínský kraj</t>
  </si>
  <si>
    <t>mm</t>
  </si>
  <si>
    <r>
      <t>h</t>
    </r>
    <r>
      <rPr>
        <b/>
        <u/>
        <vertAlign val="subscript"/>
        <sz val="11"/>
        <color theme="1"/>
        <rFont val="Calibri"/>
        <family val="2"/>
        <charset val="238"/>
        <scheme val="minor"/>
      </rPr>
      <t>r</t>
    </r>
    <r>
      <rPr>
        <b/>
        <u/>
        <sz val="11"/>
        <color theme="1"/>
        <rFont val="Calibri"/>
        <family val="2"/>
        <charset val="238"/>
        <scheme val="minor"/>
      </rPr>
      <t xml:space="preserve"> (mm)</t>
    </r>
  </si>
  <si>
    <t>VYUŽITELNÉ MNOŽSTVÍ SRÁŽKOVÉ VODY ZA ROK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</si>
  <si>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</si>
  <si>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</si>
  <si>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-</t>
  </si>
  <si>
    <t>n =</t>
  </si>
  <si>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 xml:space="preserve"> =</t>
    </r>
  </si>
  <si>
    <t>Součinitel ztráty ve filtru</t>
  </si>
  <si>
    <t>Využitelné množství srážkové vody</t>
  </si>
  <si>
    <r>
      <t>V</t>
    </r>
    <r>
      <rPr>
        <vertAlign val="subscript"/>
        <sz val="11"/>
        <rFont val="Calibri"/>
        <family val="2"/>
        <charset val="238"/>
        <scheme val="minor"/>
      </rPr>
      <t>přít,a</t>
    </r>
    <r>
      <rPr>
        <sz val="11"/>
        <rFont val="Calibri"/>
        <family val="2"/>
        <charset val="238"/>
        <scheme val="minor"/>
      </rPr>
      <t xml:space="preserve"> =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</si>
  <si>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.r</t>
    </r>
    <r>
      <rPr>
        <vertAlign val="superscript"/>
        <sz val="11"/>
        <rFont val="Calibri"/>
        <family val="2"/>
        <charset val="238"/>
        <scheme val="minor"/>
      </rPr>
      <t>-1</t>
    </r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</si>
  <si>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potř,os,d</t>
    </r>
    <r>
      <rPr>
        <sz val="11"/>
        <color theme="1"/>
        <rFont val="Calibri"/>
        <family val="2"/>
        <scheme val="minor"/>
      </rPr>
      <t xml:space="preserve"> =</t>
    </r>
  </si>
  <si>
    <t>Počet osob</t>
  </si>
  <si>
    <t>os</t>
  </si>
  <si>
    <t>Specifická denní potřeba provozní vody souvisící s osobami</t>
  </si>
  <si>
    <t>Specifická denní potřeba provozní vody nesouvisící s osobami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</si>
  <si>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potř,pl,d</t>
    </r>
    <r>
      <rPr>
        <sz val="11"/>
        <color theme="1"/>
        <rFont val="Calibri"/>
        <family val="2"/>
        <scheme val="minor"/>
      </rPr>
      <t xml:space="preserve"> =</t>
    </r>
  </si>
  <si>
    <t>Počet měrných jednotek</t>
  </si>
  <si>
    <t>jednotka</t>
  </si>
  <si>
    <t>VELIKOST AKUMULAČNÍHO OBJEMU</t>
  </si>
  <si>
    <t>Předpokládaná délka suchého období</t>
  </si>
  <si>
    <t>R =</t>
  </si>
  <si>
    <t>dní</t>
  </si>
  <si>
    <r>
      <t>V</t>
    </r>
    <r>
      <rPr>
        <vertAlign val="subscript"/>
        <sz val="11"/>
        <rFont val="Calibri"/>
        <family val="2"/>
        <charset val="238"/>
        <scheme val="minor"/>
      </rPr>
      <t>potř,a</t>
    </r>
    <r>
      <rPr>
        <sz val="11"/>
        <rFont val="Calibri"/>
        <family val="2"/>
        <charset val="238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</si>
  <si>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</si>
  <si>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</si>
  <si>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</si>
  <si>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</si>
  <si>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scheme val="minor"/>
      </rPr>
      <t xml:space="preserve"> = </t>
    </r>
  </si>
  <si>
    <t>Typ plochy 1:</t>
  </si>
  <si>
    <t>Typ plochy 2:</t>
  </si>
  <si>
    <t>Typ plochy 3:</t>
  </si>
  <si>
    <t>Typ plochy 4:</t>
  </si>
  <si>
    <t>Typ plochy 5:</t>
  </si>
  <si>
    <t>Typ odvodňované plochy</t>
  </si>
  <si>
    <t>SOUČINITELE ODTOKU</t>
  </si>
  <si>
    <t>Plochá střecha (kovové plechy, sklo, další nenasákavé materiály)</t>
  </si>
  <si>
    <t>Šikmá střecha (střešní tašky, asfaltové pásy s posypem)</t>
  </si>
  <si>
    <t>Šikmá střecha (kovové plechy, sklo, další nenasákavé materiály)</t>
  </si>
  <si>
    <t>Plochá střech (střešní tašky, asfaltové pásy s posypem)</t>
  </si>
  <si>
    <t>Štěrkové střechy</t>
  </si>
  <si>
    <t>Vegetační střecha (mocnost substrátu 40 - 60 mm)</t>
  </si>
  <si>
    <t>Vegetační střecha (mocnost substrátu 60 - 100 mm)</t>
  </si>
  <si>
    <t>Vegetační střecha (mocnost substrátu 100 - 150 mm)</t>
  </si>
  <si>
    <t>Vegetační střecha (mocnost substrátu 150 - 250 mm)</t>
  </si>
  <si>
    <t>Vegetační střecha (mocnost substrátu 250 - 500 mm)</t>
  </si>
  <si>
    <t>Vegetační střecha (mocnost substrátu &gt; 500 mm)</t>
  </si>
  <si>
    <t>Vozovky, chodníky, náměstí (asfalt, beton beze spár)</t>
  </si>
  <si>
    <t>Vozovky, chodníky, náměstí (dlažba s vyplněnými spárami)</t>
  </si>
  <si>
    <t>Vozovky, chodníky, náměstí (hutněný štěrk)</t>
  </si>
  <si>
    <t>Vozovky, chodníky, náměstí (dlažba s propustnými spárami 15 %)</t>
  </si>
  <si>
    <t>Vozovky, chodníky, náměstí (dlažba s propustnými spárami 35 %)</t>
  </si>
  <si>
    <t>Vozovky, chodníky, náměstí (dlažba s propustnými spárami 50 %)</t>
  </si>
  <si>
    <t>Vozovky, chodníky, náměstí (štěrk, zatravněný štěrk)</t>
  </si>
  <si>
    <t>Zemní svahy, náspy, příkopy (jílovitá půda)</t>
  </si>
  <si>
    <t>Zemní svahy, náspy, příkopy (hlinito-písčitá půda)</t>
  </si>
  <si>
    <t>Zemní svahy, náspy, příkopy (písčitá půda)</t>
  </si>
  <si>
    <t>Zatravněné plochy, sady, zahrady (ploché)</t>
  </si>
  <si>
    <t>Zatravněné plochy, sady, zahrady (sklonité)</t>
  </si>
  <si>
    <r>
      <rPr>
        <b/>
        <u/>
        <sz val="11"/>
        <color theme="1"/>
        <rFont val="Symbol"/>
        <family val="1"/>
        <charset val="2"/>
      </rPr>
      <t>y</t>
    </r>
    <r>
      <rPr>
        <b/>
        <u/>
        <vertAlign val="subscript"/>
        <sz val="11"/>
        <color theme="1"/>
        <rFont val="Calibri"/>
        <family val="2"/>
        <charset val="238"/>
        <scheme val="minor"/>
      </rPr>
      <t>m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</si>
  <si>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charset val="238"/>
        <scheme val="minor"/>
      </rPr>
      <t>m1</t>
    </r>
    <r>
      <rPr>
        <sz val="11"/>
        <color theme="1"/>
        <rFont val="Calibri"/>
        <family val="2"/>
        <scheme val="minor"/>
      </rPr>
      <t xml:space="preserve"> =</t>
    </r>
  </si>
  <si>
    <t>Půdorysný průmět odvodňované plochy,</t>
  </si>
  <si>
    <t>typ plochy, součinitel odtoku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</si>
  <si>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charset val="238"/>
        <scheme val="minor"/>
      </rPr>
      <t>m2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</si>
  <si>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charset val="238"/>
        <scheme val="minor"/>
      </rPr>
      <t>m3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</si>
  <si>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charset val="238"/>
        <scheme val="minor"/>
      </rPr>
      <t>m4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</si>
  <si>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charset val="238"/>
        <scheme val="minor"/>
      </rPr>
      <t>m5</t>
    </r>
    <r>
      <rPr>
        <sz val="11"/>
        <color theme="1"/>
        <rFont val="Calibri"/>
        <family val="2"/>
        <scheme val="minor"/>
      </rPr>
      <t xml:space="preserve"> =</t>
    </r>
  </si>
  <si>
    <t>---</t>
  </si>
  <si>
    <t>Roční potřeba provozní (srážkové) vody</t>
  </si>
  <si>
    <r>
      <t>V</t>
    </r>
    <r>
      <rPr>
        <b/>
        <vertAlign val="subscript"/>
        <sz val="11"/>
        <color rgb="FFC00000"/>
        <rFont val="Calibri"/>
        <family val="2"/>
        <charset val="238"/>
        <scheme val="minor"/>
      </rPr>
      <t>A</t>
    </r>
    <r>
      <rPr>
        <b/>
        <sz val="11"/>
        <color rgb="FFC00000"/>
        <rFont val="Calibri"/>
        <family val="2"/>
        <charset val="238"/>
        <scheme val="minor"/>
      </rPr>
      <t xml:space="preserve"> =</t>
    </r>
  </si>
  <si>
    <r>
      <t>m</t>
    </r>
    <r>
      <rPr>
        <b/>
        <vertAlign val="superscript"/>
        <sz val="11"/>
        <color rgb="FFC00000"/>
        <rFont val="Calibri"/>
        <family val="2"/>
        <charset val="238"/>
        <scheme val="minor"/>
      </rPr>
      <t>3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</si>
  <si>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</si>
  <si>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</si>
  <si>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</si>
  <si>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</si>
  <si>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</si>
  <si>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</si>
  <si>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</si>
  <si>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</si>
  <si>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</si>
  <si>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</si>
  <si>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</si>
  <si>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</si>
  <si>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scheme val="minor"/>
      </rPr>
      <t xml:space="preserve"> =</t>
    </r>
  </si>
  <si>
    <t>Využitelné množství srážkové vody za rok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</si>
  <si>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přít,a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</si>
  <si>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.r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</si>
  <si>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ROČNÍ POTŘEBA PROVOZNÍ (SRÁŽKOVÉ) VODY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</si>
  <si>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potř,a</t>
    </r>
    <r>
      <rPr>
        <sz val="11"/>
        <color theme="1"/>
        <rFont val="Calibri"/>
        <family val="2"/>
        <scheme val="minor"/>
      </rPr>
      <t xml:space="preserve"> =</t>
    </r>
  </si>
  <si>
    <t>měsíc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</si>
  <si>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.měs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</si>
  <si>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VYUŽITELNÉ MNOŽSTVÍ SRÁŽKOVÉ VODY</t>
  </si>
  <si>
    <t>POTŘEBA PROVOZNÍ (SRÁŽKOVÉ) VODY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</si>
  <si>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přít,m</t>
    </r>
    <r>
      <rPr>
        <sz val="11"/>
        <color theme="1"/>
        <rFont val="Calibri"/>
        <family val="2"/>
        <scheme val="minor"/>
      </rPr>
      <t xml:space="preserve"> =</t>
    </r>
  </si>
  <si>
    <t>Měsíční využitelné množství srážkové vody</t>
  </si>
  <si>
    <t>Měsíční potřeba provozní (srážkové) vody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</si>
  <si>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potř,m</t>
    </r>
    <r>
      <rPr>
        <sz val="11"/>
        <color theme="1"/>
        <rFont val="Calibri"/>
        <family val="2"/>
        <scheme val="minor"/>
      </rPr>
      <t xml:space="preserve"> =</t>
    </r>
  </si>
  <si>
    <r>
      <t>l.os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scheme val="minor"/>
      </rPr>
      <t>.d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</si>
  <si>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r>
      <t>l.os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i/>
        <sz val="11"/>
        <color theme="1"/>
        <rFont val="Calibri"/>
        <family val="2"/>
        <charset val="238"/>
        <scheme val="minor"/>
      </rPr>
      <t>.d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</si>
  <si>
    <t>Úklid domácnosti:</t>
  </si>
  <si>
    <t>Splachování:</t>
  </si>
  <si>
    <t>Praní:</t>
  </si>
  <si>
    <t>Zálivka:</t>
  </si>
  <si>
    <t>%</t>
  </si>
  <si>
    <r>
      <t>l.jednotka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.d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</si>
  <si>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Bilance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</si>
  <si>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odběr,m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</si>
  <si>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A,m</t>
    </r>
    <r>
      <rPr>
        <sz val="11"/>
        <color theme="1"/>
        <rFont val="Calibri"/>
        <family val="2"/>
        <scheme val="minor"/>
      </rPr>
      <t xml:space="preserve"> =</t>
    </r>
  </si>
  <si>
    <t>VÝPOČET NA ZÁKLADĚ MĚSÍČNÍ BILANCE</t>
  </si>
  <si>
    <r>
      <t>V</t>
    </r>
    <r>
      <rPr>
        <vertAlign val="subscript"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 xml:space="preserve"> (m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</si>
  <si>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scheme val="minor"/>
      </rPr>
      <t xml:space="preserve"> (%)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</si>
  <si>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</si>
  <si>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Pokrytí potřeby provozní vody</t>
  </si>
  <si>
    <t>PROVOZ NÁDRŽE</t>
  </si>
  <si>
    <t>Vypuštěná nádrž (ano = vypuštěná, ne = v provozu)</t>
  </si>
  <si>
    <t>Pokud bude nádrž např. na zimní období vypouštěna, uveďte u příslušných měsíců "ano"</t>
  </si>
  <si>
    <t>SEZNAM KRAJŮ A PŘÍSLUŠNÝCH SRÁŽKOVÝCH ÚHRNŮ</t>
  </si>
  <si>
    <t>ano / ne</t>
  </si>
  <si>
    <t>ne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</si>
  <si>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scheme val="minor"/>
      </rPr>
      <t xml:space="preserve"> = </t>
    </r>
  </si>
  <si>
    <t>ZÁLIVKA</t>
  </si>
  <si>
    <t>Ideální srážka (mm)</t>
  </si>
  <si>
    <t>Plodina</t>
  </si>
  <si>
    <t>Kraj</t>
  </si>
  <si>
    <r>
      <t>l.ks.d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</si>
  <si>
    <t>Stromy (nové výsadby 2-3 roky)</t>
  </si>
  <si>
    <t>Parky:</t>
  </si>
  <si>
    <t>dle zatravněné plochy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</si>
  <si>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scheme val="minor"/>
      </rPr>
      <t xml:space="preserve"> (m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</si>
  <si>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</si>
  <si>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scheme val="minor"/>
      </rPr>
      <t xml:space="preserve"> = </t>
    </r>
  </si>
  <si>
    <t>Upřednostňuje se výpočet dle ČSN 75 3434 a SPPK A02 001, níže orientační hodnoty</t>
  </si>
  <si>
    <t>ano</t>
  </si>
  <si>
    <t>Vozovky, chodníky, náměstí (zatravňovací/vegetační rošty, mřížky, dlaždice)</t>
  </si>
  <si>
    <t>Informace k použití</t>
  </si>
  <si>
    <t>Info</t>
  </si>
  <si>
    <t>Roční bilance</t>
  </si>
  <si>
    <t>Výpočet metodou roční bilance</t>
  </si>
  <si>
    <t>Měsíční bilance</t>
  </si>
  <si>
    <t>Výpočet metodou něsíční bilance</t>
  </si>
  <si>
    <t>Data</t>
  </si>
  <si>
    <t>Podkladová data</t>
  </si>
  <si>
    <t>Listy sešitu</t>
  </si>
  <si>
    <t>Vybarvení buněk</t>
  </si>
  <si>
    <t>Pole pro zadání hodnot nebo výběr z předdefinovaného seznamu</t>
  </si>
  <si>
    <t>Pevný parametr výpočtu určený SFŽP ČR</t>
  </si>
  <si>
    <t>ROČNÍ BILANCE</t>
  </si>
  <si>
    <t>MĚSÍČNÍ BILANCE</t>
  </si>
  <si>
    <t>DENNÍ BILANCE</t>
  </si>
  <si>
    <t>VARIABILITA UŽÍVÁNÍ SRÁŽKOVÉ VODY</t>
  </si>
  <si>
    <t>KOMPLEXITA SYSTÉMU</t>
  </si>
  <si>
    <t>Jednotlivé nemovitosti</t>
  </si>
  <si>
    <t>Výběr metody výpočtu</t>
  </si>
  <si>
    <t xml:space="preserve">Rovnoměrná potřeba vody v průběhu roku </t>
  </si>
  <si>
    <t>Výrazná změna potřeby vody v průběhu roku (zejm. při užívání pro zálivku)</t>
  </si>
  <si>
    <t>Nepravidelná potřeba vody (např. externí použití, použití mimo domácnosti, turismus atp.) a nejistý nátok srážkových vod (např. z vegetačních střech)</t>
  </si>
  <si>
    <t>Větší a komplexní systémy a/nebo systémy s nepravidelnou potřebou a nátokem srážkových vod</t>
  </si>
  <si>
    <t>Automaticky vyplněná pole se vstupními daty / průběžnými výpočty</t>
  </si>
  <si>
    <t>Pozn.: Metoda denní bilance není předprogramována v rámci tohoto souboru</t>
  </si>
  <si>
    <t>Typické hodnoty potřeby provozní vody viz níže</t>
  </si>
  <si>
    <t>dle typu myčky a typu vozidla</t>
  </si>
  <si>
    <t>dle typu čištění a použité techniky</t>
  </si>
  <si>
    <t>Mytí vozidel:</t>
  </si>
  <si>
    <t>Kropení ulic a veřejných prostranství:</t>
  </si>
  <si>
    <t>Mokré čištění ulic a veřejných prostranství:</t>
  </si>
  <si>
    <t>Navržená velikost akumulačního objemu</t>
  </si>
  <si>
    <t>TYPICKÉ HODNOTY POTŘEBY VODY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</si>
  <si>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</si>
  <si>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</si>
  <si>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=</t>
    </r>
  </si>
  <si>
    <t>Interpolace</t>
  </si>
  <si>
    <r>
      <t>Vztah mezi akumulačním objemem V</t>
    </r>
    <r>
      <rPr>
        <b/>
        <vertAlign val="subscript"/>
        <sz val="11"/>
        <rFont val="Calibri"/>
        <family val="2"/>
        <charset val="238"/>
        <scheme val="minor"/>
      </rPr>
      <t>A</t>
    </r>
    <r>
      <rPr>
        <b/>
        <sz val="11"/>
        <rFont val="Calibri"/>
        <family val="2"/>
        <charset val="238"/>
        <scheme val="minor"/>
      </rPr>
      <t>,</t>
    </r>
  </si>
  <si>
    <r>
      <t>a stupněm pokrytí potřeby C</t>
    </r>
    <r>
      <rPr>
        <b/>
        <vertAlign val="subscript"/>
        <sz val="11"/>
        <color theme="1"/>
        <rFont val="Calibri"/>
        <family val="2"/>
        <charset val="238"/>
        <scheme val="minor"/>
      </rPr>
      <t>r</t>
    </r>
  </si>
  <si>
    <r>
      <t>m</t>
    </r>
    <r>
      <rPr>
        <vertAlign val="superscript"/>
        <sz val="11"/>
        <rFont val="Calibri"/>
        <family val="2"/>
        <scheme val="minor"/>
      </rPr>
      <t>3</t>
    </r>
  </si>
  <si>
    <r>
      <t>min E</t>
    </r>
    <r>
      <rPr>
        <vertAlign val="subscript"/>
        <sz val="11"/>
        <rFont val="Calibri"/>
        <family val="2"/>
        <charset val="238"/>
        <scheme val="minor"/>
      </rPr>
      <t>r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</si>
  <si>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charset val="238"/>
        <scheme val="minor"/>
      </rPr>
      <t>3</t>
    </r>
  </si>
  <si>
    <t>pomocné kritérium</t>
  </si>
  <si>
    <r>
      <t>pozice E</t>
    </r>
    <r>
      <rPr>
        <vertAlign val="subscript"/>
        <sz val="11"/>
        <rFont val="Calibri"/>
        <family val="2"/>
        <charset val="238"/>
        <scheme val="minor"/>
      </rPr>
      <t>r</t>
    </r>
    <r>
      <rPr>
        <sz val="11"/>
        <rFont val="Calibri"/>
        <family val="2"/>
        <scheme val="minor"/>
      </rPr>
      <t xml:space="preserve"> k interpolaci</t>
    </r>
  </si>
  <si>
    <r>
      <t>interpolovaný interval V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</si>
  <si>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interpolovaný interval E</t>
    </r>
    <r>
      <rPr>
        <vertAlign val="subscript"/>
        <sz val="11"/>
        <rFont val="Calibri"/>
        <family val="2"/>
        <scheme val="minor"/>
      </rPr>
      <t>r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</si>
  <si>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 xml:space="preserve">A </t>
    </r>
    <r>
      <rPr>
        <sz val="11"/>
        <rFont val="Calibri"/>
        <family val="2"/>
        <charset val="238"/>
        <scheme val="minor"/>
      </rPr>
      <t>(výsledek interpolace)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=</t>
    </r>
  </si>
  <si>
    <r>
      <t>(0 - min V</t>
    </r>
    <r>
      <rPr>
        <vertAlign val="subscript"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scheme val="minor"/>
      </rPr>
      <t xml:space="preserve"> vykazuje E</t>
    </r>
    <r>
      <rPr>
        <vertAlign val="subscript"/>
        <sz val="11"/>
        <rFont val="Calibri"/>
        <family val="2"/>
        <charset val="238"/>
        <scheme val="minor"/>
      </rPr>
      <t>r</t>
    </r>
    <r>
      <rPr>
        <sz val="11"/>
        <rFont val="Calibri"/>
        <family val="2"/>
        <scheme val="minor"/>
      </rPr>
      <t xml:space="preserve"> &lt; min E</t>
    </r>
    <r>
      <rPr>
        <vertAlign val="subscript"/>
        <sz val="11"/>
        <rFont val="Calibri"/>
        <family val="2"/>
        <charset val="238"/>
        <scheme val="minor"/>
      </rPr>
      <t>r</t>
    </r>
    <r>
      <rPr>
        <sz val="11"/>
        <rFont val="Calibri"/>
        <family val="2"/>
        <scheme val="minor"/>
      </rPr>
      <t>, 2 - max V</t>
    </r>
    <r>
      <rPr>
        <vertAlign val="subscript"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scheme val="minor"/>
      </rPr>
      <t xml:space="preserve"> vykazuje E</t>
    </r>
    <r>
      <rPr>
        <vertAlign val="subscript"/>
        <sz val="11"/>
        <rFont val="Calibri"/>
        <family val="2"/>
        <charset val="238"/>
        <scheme val="minor"/>
      </rPr>
      <t>r</t>
    </r>
    <r>
      <rPr>
        <sz val="11"/>
        <rFont val="Calibri"/>
        <family val="2"/>
        <scheme val="minor"/>
      </rPr>
      <t xml:space="preserve"> &gt; min E</t>
    </r>
    <r>
      <rPr>
        <vertAlign val="subscript"/>
        <sz val="11"/>
        <rFont val="Calibri"/>
        <family val="2"/>
        <charset val="238"/>
        <scheme val="minor"/>
      </rPr>
      <t>r</t>
    </r>
    <r>
      <rPr>
        <sz val="11"/>
        <rFont val="Calibri"/>
        <family val="2"/>
        <scheme val="minor"/>
      </rPr>
      <t>, 1 - min E</t>
    </r>
    <r>
      <rPr>
        <vertAlign val="subscript"/>
        <sz val="11"/>
        <rFont val="Calibri"/>
        <family val="2"/>
        <charset val="238"/>
        <scheme val="minor"/>
      </rPr>
      <t>r</t>
    </r>
    <r>
      <rPr>
        <sz val="11"/>
        <rFont val="Calibri"/>
        <family val="2"/>
        <scheme val="minor"/>
      </rPr>
      <t xml:space="preserve"> je v rozptylu V</t>
    </r>
    <r>
      <rPr>
        <vertAlign val="subscript"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scheme val="minor"/>
      </rPr>
      <t>)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</si>
  <si>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/m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</si>
  <si>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</si>
  <si>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15 l.os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i/>
        <sz val="11"/>
        <color theme="1"/>
        <rFont val="Calibri"/>
        <family val="2"/>
        <charset val="238"/>
        <scheme val="minor"/>
      </rPr>
      <t>.d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</si>
  <si>
    <r>
      <t>2 l.os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i/>
        <sz val="11"/>
        <color theme="1"/>
        <rFont val="Calibri"/>
        <family val="2"/>
        <charset val="238"/>
        <scheme val="minor"/>
      </rPr>
      <t>.d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</si>
  <si>
    <r>
      <t>efektivitou využití objemu nádrže E</t>
    </r>
    <r>
      <rPr>
        <b/>
        <vertAlign val="subscript"/>
        <sz val="11"/>
        <rFont val="Calibri"/>
        <family val="2"/>
        <charset val="238"/>
        <scheme val="minor"/>
      </rPr>
      <t>r</t>
    </r>
  </si>
  <si>
    <t>Efektivita využití objemu nádrže</t>
  </si>
  <si>
    <t>Intenzivní trávník</t>
  </si>
  <si>
    <t>Ovocné stromy (sad)</t>
  </si>
  <si>
    <t>Zelenina</t>
  </si>
  <si>
    <r>
      <t>v období V-IX (v dávce 120 l.ks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i/>
        <sz val="11"/>
        <color theme="1"/>
        <rFont val="Calibri"/>
        <family val="2"/>
        <charset val="238"/>
        <scheme val="minor"/>
      </rPr>
      <t xml:space="preserve"> 1x za 14 dní)</t>
    </r>
  </si>
  <si>
    <r>
      <t>l.m</t>
    </r>
    <r>
      <rPr>
        <vertAlign val="superscript"/>
        <sz val="11"/>
        <color theme="1"/>
        <rFont val="Calibri"/>
        <family val="2"/>
        <charset val="238"/>
        <scheme val="minor"/>
      </rPr>
      <t>-2</t>
    </r>
    <r>
      <rPr>
        <sz val="11"/>
        <color theme="1"/>
        <rFont val="Calibri"/>
        <family val="2"/>
        <scheme val="minor"/>
      </rPr>
      <t>.d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</si>
  <si>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r>
      <t>25 l.os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i/>
        <sz val="11"/>
        <color theme="1"/>
        <rFont val="Calibri"/>
        <family val="2"/>
        <charset val="238"/>
        <scheme val="minor"/>
      </rPr>
      <t>.d</t>
    </r>
    <r>
      <rPr>
        <i/>
        <vertAlign val="superscript"/>
        <sz val="11"/>
        <color theme="1"/>
        <rFont val="Calibri"/>
        <family val="2"/>
        <charset val="238"/>
        <scheme val="minor"/>
      </rPr>
      <t>-1</t>
    </r>
  </si>
  <si>
    <t>Automaticky vyplněná pole s výsledky výpočtu, červeným textem vyznačem maximální návrhový objem akumulační nádrže</t>
  </si>
  <si>
    <r>
      <t>V</t>
    </r>
    <r>
      <rPr>
        <b/>
        <vertAlign val="subscript"/>
        <sz val="11"/>
        <color rgb="FFC00000"/>
        <rFont val="Calibri"/>
        <family val="2"/>
        <charset val="238"/>
        <scheme val="minor"/>
      </rPr>
      <t>A,max</t>
    </r>
    <r>
      <rPr>
        <b/>
        <sz val="11"/>
        <color rgb="FFC00000"/>
        <rFont val="Calibri"/>
        <family val="2"/>
        <charset val="238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</si>
  <si>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r,min</t>
    </r>
    <r>
      <rPr>
        <sz val="11"/>
        <color theme="1"/>
        <rFont val="Calibri"/>
        <family val="2"/>
        <charset val="238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</si>
  <si>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 xml:space="preserve"> = 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</si>
  <si>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</si>
  <si>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V</t>
    </r>
    <r>
      <rPr>
        <vertAlign val="subscript"/>
        <sz val="11"/>
        <rFont val="Calibri"/>
        <family val="2"/>
        <charset val="238"/>
        <scheme val="minor"/>
      </rPr>
      <t>odběr,m</t>
    </r>
    <r>
      <rPr>
        <sz val="11"/>
        <rFont val="Calibri"/>
        <family val="2"/>
        <charset val="238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</si>
  <si>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charset val="238"/>
        <scheme val="minor"/>
      </rPr>
      <t>A,m</t>
    </r>
    <r>
      <rPr>
        <sz val="11"/>
        <rFont val="Calibri"/>
        <family val="2"/>
        <charset val="238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</si>
</sst>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u/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Symbol"/>
      <family val="1"/>
      <charset val="2"/>
    </font>
    <font>
      <b/>
      <vertAlign val="subscript"/>
      <sz val="11"/>
      <color rgb="FFC00000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14" fillId="0" borderId="0" xfId="0" applyFont="1"/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center"/>
    </xf>
    <xf numFmtId="2" fontId="0" fillId="0" borderId="0" xfId="0" applyNumberFormat="1"/>
    <xf numFmtId="0" fontId="16" fillId="0" borderId="0" xfId="0" quotePrefix="1" applyFont="1" applyAlignment="1">
      <alignment horizontal="right"/>
    </xf>
    <xf numFmtId="2" fontId="0" fillId="0" borderId="0" xfId="0" applyNumberFormat="1" applyAlignment="1">
      <alignment horizontal="right"/>
    </xf>
    <xf numFmtId="0" fontId="16" fillId="0" borderId="0" xfId="0" applyFont="1"/>
    <xf numFmtId="164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0" fillId="2" borderId="0" xfId="0" applyNumberFormat="1" applyFill="1"/>
    <xf numFmtId="0" fontId="11" fillId="0" borderId="0" xfId="0" applyFont="1"/>
    <xf numFmtId="164" fontId="11" fillId="3" borderId="0" xfId="0" applyNumberFormat="1" applyFont="1" applyFill="1"/>
    <xf numFmtId="164" fontId="0" fillId="3" borderId="0" xfId="0" applyNumberFormat="1" applyFill="1"/>
    <xf numFmtId="0" fontId="15" fillId="0" borderId="0" xfId="0" applyFont="1"/>
    <xf numFmtId="164" fontId="11" fillId="0" borderId="0" xfId="0" applyNumberFormat="1" applyFont="1"/>
    <xf numFmtId="0" fontId="15" fillId="3" borderId="0" xfId="0" applyFont="1" applyFill="1"/>
    <xf numFmtId="2" fontId="0" fillId="2" borderId="0" xfId="0" applyNumberFormat="1" applyFill="1" applyAlignment="1">
      <alignment horizontal="right"/>
    </xf>
    <xf numFmtId="0" fontId="0" fillId="0" borderId="1" xfId="0" applyBorder="1"/>
    <xf numFmtId="2" fontId="21" fillId="0" borderId="0" xfId="0" applyNumberFormat="1" applyFont="1"/>
    <xf numFmtId="2" fontId="21" fillId="0" borderId="1" xfId="0" applyNumberFormat="1" applyFont="1" applyBorder="1"/>
    <xf numFmtId="0" fontId="26" fillId="0" borderId="1" xfId="0" applyFont="1" applyBorder="1"/>
    <xf numFmtId="0" fontId="26" fillId="0" borderId="1" xfId="0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5" fillId="0" borderId="1" xfId="0" applyFont="1" applyBorder="1"/>
    <xf numFmtId="0" fontId="0" fillId="0" borderId="2" xfId="0" applyBorder="1"/>
    <xf numFmtId="1" fontId="0" fillId="0" borderId="0" xfId="0" applyNumberFormat="1"/>
    <xf numFmtId="2" fontId="0" fillId="2" borderId="0" xfId="0" applyNumberFormat="1" applyFill="1"/>
    <xf numFmtId="0" fontId="27" fillId="0" borderId="0" xfId="0" applyFont="1"/>
    <xf numFmtId="0" fontId="0" fillId="0" borderId="3" xfId="0" applyBorder="1"/>
    <xf numFmtId="0" fontId="0" fillId="2" borderId="3" xfId="0" applyFill="1" applyBorder="1"/>
    <xf numFmtId="0" fontId="0" fillId="4" borderId="3" xfId="0" applyFill="1" applyBorder="1"/>
    <xf numFmtId="0" fontId="0" fillId="3" borderId="3" xfId="0" applyFill="1" applyBorder="1"/>
    <xf numFmtId="0" fontId="0" fillId="4" borderId="0" xfId="0" applyFill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vertical="center"/>
    </xf>
    <xf numFmtId="164" fontId="11" fillId="3" borderId="1" xfId="0" applyNumberFormat="1" applyFont="1" applyFill="1" applyBorder="1"/>
    <xf numFmtId="0" fontId="9" fillId="3" borderId="0" xfId="0" applyFont="1" applyFill="1"/>
    <xf numFmtId="0" fontId="11" fillId="3" borderId="0" xfId="0" applyFont="1" applyFill="1"/>
    <xf numFmtId="0" fontId="11" fillId="3" borderId="1" xfId="0" applyFont="1" applyFill="1" applyBorder="1"/>
    <xf numFmtId="0" fontId="10" fillId="3" borderId="0" xfId="0" applyFont="1" applyFill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16" fillId="3" borderId="0" xfId="0" applyFont="1" applyFill="1"/>
    <xf numFmtId="2" fontId="11" fillId="3" borderId="0" xfId="0" applyNumberFormat="1" applyFont="1" applyFill="1"/>
    <xf numFmtId="2" fontId="0" fillId="3" borderId="0" xfId="0" applyNumberFormat="1" applyFill="1"/>
    <xf numFmtId="2" fontId="11" fillId="3" borderId="0" xfId="0" applyNumberFormat="1" applyFont="1" applyFill="1" applyAlignment="1">
      <alignment horizontal="right"/>
    </xf>
    <xf numFmtId="0" fontId="3" fillId="0" borderId="1" xfId="0" applyFont="1" applyBorder="1"/>
    <xf numFmtId="0" fontId="11" fillId="0" borderId="1" xfId="0" applyFont="1" applyBorder="1"/>
    <xf numFmtId="0" fontId="3" fillId="3" borderId="1" xfId="0" applyFont="1" applyFill="1" applyBorder="1"/>
    <xf numFmtId="0" fontId="0" fillId="3" borderId="1" xfId="0" applyFill="1" applyBorder="1"/>
    <xf numFmtId="0" fontId="11" fillId="3" borderId="2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2" fontId="0" fillId="3" borderId="1" xfId="0" applyNumberFormat="1" applyFill="1" applyBorder="1"/>
    <xf numFmtId="2" fontId="16" fillId="0" borderId="0" xfId="0" applyNumberFormat="1" applyFont="1"/>
    <xf numFmtId="164" fontId="24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164" fontId="11" fillId="0" borderId="1" xfId="0" applyNumberFormat="1" applyFont="1" applyBorder="1"/>
    <xf numFmtId="0" fontId="16" fillId="0" borderId="1" xfId="0" applyFont="1" applyBorder="1"/>
    <xf numFmtId="164" fontId="16" fillId="0" borderId="1" xfId="0" applyNumberFormat="1" applyFont="1" applyBorder="1"/>
    <xf numFmtId="0" fontId="0" fillId="4" borderId="0" xfId="0" applyFill="1" applyAlignment="1">
      <alignment horizontal="right"/>
    </xf>
    <xf numFmtId="0" fontId="10" fillId="3" borderId="0" xfId="0" applyFont="1" applyFill="1" applyAlignment="1">
      <alignment horizontal="left" vertical="top"/>
    </xf>
    <xf numFmtId="0" fontId="11" fillId="3" borderId="1" xfId="0" applyFont="1" applyFill="1" applyBorder="1" applyAlignment="1">
      <alignment horizontal="left" vertical="center"/>
    </xf>
    <xf numFmtId="0" fontId="24" fillId="0" borderId="0" xfId="0" applyFont="1"/>
    <xf numFmtId="1" fontId="24" fillId="0" borderId="0" xfId="0" applyNumberFormat="1" applyFont="1" applyAlignment="1">
      <alignment horizontal="right"/>
    </xf>
    <xf numFmtId="2" fontId="24" fillId="0" borderId="0" xfId="0" applyNumberFormat="1" applyFont="1"/>
    <xf numFmtId="164" fontId="24" fillId="0" borderId="0" xfId="0" applyNumberFormat="1" applyFont="1" applyAlignment="1">
      <alignment horizontal="right"/>
    </xf>
    <xf numFmtId="1" fontId="24" fillId="0" borderId="1" xfId="0" applyNumberFormat="1" applyFont="1" applyBorder="1" applyAlignment="1">
      <alignment horizontal="right"/>
    </xf>
    <xf numFmtId="164" fontId="24" fillId="0" borderId="1" xfId="0" applyNumberFormat="1" applyFont="1" applyBorder="1" applyAlignment="1">
      <alignment horizontal="right"/>
    </xf>
    <xf numFmtId="2" fontId="24" fillId="0" borderId="1" xfId="0" applyNumberFormat="1" applyFont="1" applyBorder="1"/>
    <xf numFmtId="0" fontId="24" fillId="0" borderId="1" xfId="0" applyFont="1" applyBorder="1"/>
    <xf numFmtId="0" fontId="3" fillId="0" borderId="2" xfId="0" applyFont="1" applyBorder="1"/>
    <xf numFmtId="2" fontId="10" fillId="3" borderId="0" xfId="0" applyNumberFormat="1" applyFont="1" applyFill="1"/>
    <xf numFmtId="0" fontId="21" fillId="0" borderId="1" xfId="0" applyFont="1" applyBorder="1" applyAlignment="1">
      <alignment vertical="center"/>
    </xf>
    <xf numFmtId="2" fontId="11" fillId="0" borderId="0" xfId="0" applyNumberFormat="1" applyFont="1"/>
    <xf numFmtId="2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8600462261894"/>
          <c:y val="4.8807534457874766E-2"/>
          <c:w val="0.75856271487190863"/>
          <c:h val="0.68074956836826706"/>
        </c:manualLayout>
      </c:layout>
      <c:scatterChart>
        <c:scatterStyle val="smoothMarker"/>
        <c:varyColors val="0"/>
        <c:ser>
          <c:idx val="1"/>
          <c:order val="1"/>
          <c:tx>
            <c:v>Efektivita využití srážkové vody 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'Měsíční bilance'!$Q$7:$Q$15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'Měsíční bilance'!$R$7:$R$15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57-439B-91F6-146F297B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994624"/>
        <c:axId val="-592008768"/>
      </c:scatterChart>
      <c:scatterChart>
        <c:scatterStyle val="smoothMarker"/>
        <c:varyColors val="0"/>
        <c:ser>
          <c:idx val="0"/>
          <c:order val="0"/>
          <c:tx>
            <c:v>Stupeň pokrytí potřeby Cr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'Měsíční bilance'!$Q$7:$Q$15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'Měsíční bilance'!$S$7:$S$15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57-439B-91F6-146F297B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2007680"/>
        <c:axId val="-592009312"/>
      </c:scatterChart>
      <c:valAx>
        <c:axId val="-59199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Velikost akumulační nádrže V</a:t>
                </a:r>
                <a:r>
                  <a:rPr lang="cs-CZ" baseline="-25000"/>
                  <a:t>A</a:t>
                </a:r>
                <a:r>
                  <a:rPr lang="cs-CZ"/>
                  <a:t> (m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592008768"/>
        <c:crosses val="autoZero"/>
        <c:crossBetween val="midCat"/>
      </c:valAx>
      <c:valAx>
        <c:axId val="-59200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Efektivita využití srážkové vody </a:t>
                </a:r>
                <a:r>
                  <a:rPr lang="cs-CZ" i="1"/>
                  <a:t>E</a:t>
                </a:r>
                <a:r>
                  <a:rPr lang="cs-CZ" baseline="-25000"/>
                  <a:t>r</a:t>
                </a:r>
                <a:r>
                  <a:rPr lang="cs-CZ"/>
                  <a:t> (m</a:t>
                </a:r>
                <a:r>
                  <a:rPr lang="cs-CZ" baseline="30000"/>
                  <a:t>3</a:t>
                </a:r>
                <a:r>
                  <a:rPr lang="cs-CZ"/>
                  <a:t>.m</a:t>
                </a:r>
                <a:r>
                  <a:rPr lang="cs-CZ" baseline="30000"/>
                  <a:t>-3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9912018039998459E-2"/>
              <c:y val="2.03062798293267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591994624"/>
        <c:crosses val="autoZero"/>
        <c:crossBetween val="midCat"/>
      </c:valAx>
      <c:valAx>
        <c:axId val="-592009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baseline="0">
                    <a:effectLst/>
                  </a:rPr>
                  <a:t>Stupeň pokrytí potřeby </a:t>
                </a:r>
                <a:r>
                  <a:rPr lang="cs-CZ" sz="1000" b="0" i="1" baseline="0">
                    <a:effectLst/>
                  </a:rPr>
                  <a:t>C</a:t>
                </a:r>
                <a:r>
                  <a:rPr lang="cs-CZ" sz="1000" b="0" i="0" baseline="-25000">
                    <a:effectLst/>
                  </a:rPr>
                  <a:t>r</a:t>
                </a:r>
                <a:r>
                  <a:rPr lang="cs-CZ" sz="1000" b="0" i="0" baseline="0">
                    <a:effectLst/>
                  </a:rPr>
                  <a:t> (%)</a:t>
                </a:r>
                <a:endParaRPr lang="cs-CZ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4074071726949626"/>
              <c:y val="0.1462252155409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592007680"/>
        <c:crosses val="max"/>
        <c:crossBetween val="midCat"/>
        <c:majorUnit val="20"/>
      </c:valAx>
      <c:valAx>
        <c:axId val="-5920076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592009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6">
            <a:lumMod val="40000"/>
            <a:lumOff val="6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127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</xdr:row>
      <xdr:rowOff>157162</xdr:rowOff>
    </xdr:from>
    <xdr:to>
      <xdr:col>21</xdr:col>
      <xdr:colOff>695325</xdr:colOff>
      <xdr:row>28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C6" sqref="C6"/>
    </sheetView>
  </sheetViews>
  <sheetFormatPr defaultRowHeight="15" x14ac:dyDescent="0.25"/>
  <cols>
    <col min="1" max="1" width="23.42578125" bestFit="1" customWidth="1"/>
    <col min="2" max="4" width="30.7109375" customWidth="1"/>
  </cols>
  <sheetData>
    <row r="1" spans="1:4" ht="18.75" x14ac:dyDescent="0.3">
      <c r="A1" s="1" t="s">
        <v>152</v>
      </c>
    </row>
    <row r="3" spans="1:4" x14ac:dyDescent="0.25">
      <c r="A3" s="3" t="s">
        <v>160</v>
      </c>
    </row>
    <row r="5" spans="1:4" x14ac:dyDescent="0.25">
      <c r="A5" s="2" t="s">
        <v>153</v>
      </c>
      <c r="B5" t="s">
        <v>152</v>
      </c>
    </row>
    <row r="6" spans="1:4" x14ac:dyDescent="0.25">
      <c r="A6" s="2" t="s">
        <v>154</v>
      </c>
      <c r="B6" t="s">
        <v>155</v>
      </c>
    </row>
    <row r="7" spans="1:4" x14ac:dyDescent="0.25">
      <c r="A7" s="2" t="s">
        <v>156</v>
      </c>
      <c r="B7" t="s">
        <v>157</v>
      </c>
    </row>
    <row r="8" spans="1:4" x14ac:dyDescent="0.25">
      <c r="A8" s="2" t="s">
        <v>158</v>
      </c>
      <c r="B8" t="s">
        <v>159</v>
      </c>
    </row>
    <row r="9" spans="1:4" x14ac:dyDescent="0.25">
      <c r="A9" s="2"/>
    </row>
    <row r="11" spans="1:4" x14ac:dyDescent="0.25">
      <c r="A11" s="3" t="s">
        <v>170</v>
      </c>
    </row>
    <row r="12" spans="1:4" x14ac:dyDescent="0.25">
      <c r="A12" s="29"/>
      <c r="B12" s="29"/>
      <c r="C12" s="29"/>
      <c r="D12" s="29"/>
    </row>
    <row r="13" spans="1:4" x14ac:dyDescent="0.25">
      <c r="A13" s="38"/>
      <c r="B13" s="47" t="s">
        <v>164</v>
      </c>
      <c r="C13" s="47" t="s">
        <v>165</v>
      </c>
      <c r="D13" s="47" t="s">
        <v>166</v>
      </c>
    </row>
    <row r="14" spans="1:4" ht="75" x14ac:dyDescent="0.25">
      <c r="A14" s="47" t="s">
        <v>167</v>
      </c>
      <c r="B14" s="50" t="s">
        <v>171</v>
      </c>
      <c r="C14" s="50" t="s">
        <v>172</v>
      </c>
      <c r="D14" s="50" t="s">
        <v>173</v>
      </c>
    </row>
    <row r="15" spans="1:4" ht="60" x14ac:dyDescent="0.25">
      <c r="A15" s="48" t="s">
        <v>168</v>
      </c>
      <c r="B15" s="49" t="s">
        <v>169</v>
      </c>
      <c r="C15" s="49" t="s">
        <v>169</v>
      </c>
      <c r="D15" s="49" t="s">
        <v>174</v>
      </c>
    </row>
    <row r="16" spans="1:4" x14ac:dyDescent="0.25">
      <c r="A16" s="52" t="s">
        <v>176</v>
      </c>
      <c r="B16" s="51"/>
      <c r="C16" s="51"/>
      <c r="D16" s="51"/>
    </row>
    <row r="18" spans="1:2" x14ac:dyDescent="0.25">
      <c r="A18" s="3" t="s">
        <v>161</v>
      </c>
    </row>
    <row r="20" spans="1:2" x14ac:dyDescent="0.25">
      <c r="A20" s="43"/>
      <c r="B20" t="s">
        <v>162</v>
      </c>
    </row>
    <row r="21" spans="1:2" x14ac:dyDescent="0.25">
      <c r="A21" s="42"/>
      <c r="B21" t="s">
        <v>175</v>
      </c>
    </row>
    <row r="22" spans="1:2" x14ac:dyDescent="0.25">
      <c r="A22" s="44"/>
      <c r="B22" t="s">
        <v>163</v>
      </c>
    </row>
    <row r="23" spans="1:2" x14ac:dyDescent="0.25">
      <c r="A23" s="45"/>
      <c r="B23" t="s">
        <v>212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59"/>
  <sheetViews>
    <sheetView topLeftCell="A2" workbookViewId="0">
      <selection activeCell="D12" sqref="D12"/>
    </sheetView>
  </sheetViews>
  <sheetFormatPr defaultRowHeight="15" x14ac:dyDescent="0.25"/>
  <cols>
    <col min="1" max="1" width="12.7109375" customWidth="1"/>
    <col min="2" max="2" width="68.5703125" customWidth="1"/>
    <col min="6" max="6" width="11.5703125" customWidth="1"/>
    <col min="7" max="7" width="22.7109375" customWidth="1"/>
  </cols>
  <sheetData>
    <row r="1" spans="1:9" ht="18.75" x14ac:dyDescent="0.3">
      <c r="A1" s="1" t="s">
        <v>0</v>
      </c>
      <c r="G1" s="29"/>
      <c r="H1" s="29"/>
      <c r="I1" s="29"/>
    </row>
    <row r="2" spans="1:9" x14ac:dyDescent="0.25">
      <c r="G2" s="54" t="s">
        <v>26</v>
      </c>
      <c r="H2" s="55"/>
      <c r="I2" s="55"/>
    </row>
    <row r="3" spans="1:9" ht="18.75" x14ac:dyDescent="0.35">
      <c r="A3" t="s">
        <v>2</v>
      </c>
      <c r="B3" s="7" t="s">
        <v>4</v>
      </c>
      <c r="G3" s="56" t="s">
        <v>27</v>
      </c>
      <c r="H3" s="53">
        <f>+B36</f>
        <v>0</v>
      </c>
      <c r="I3" s="56" t="s">
        <v>28</v>
      </c>
    </row>
    <row r="5" spans="1:9" x14ac:dyDescent="0.25">
      <c r="A5" s="3" t="s">
        <v>19</v>
      </c>
      <c r="G5" s="29"/>
      <c r="H5" s="29"/>
      <c r="I5" s="29"/>
    </row>
    <row r="6" spans="1:9" x14ac:dyDescent="0.25">
      <c r="G6" s="54" t="s">
        <v>86</v>
      </c>
      <c r="H6" s="55"/>
      <c r="I6" s="55"/>
    </row>
    <row r="7" spans="1:9" ht="18.75" x14ac:dyDescent="0.35">
      <c r="A7" s="2" t="s">
        <v>1</v>
      </c>
      <c r="G7" s="56" t="s">
        <v>41</v>
      </c>
      <c r="H7" s="53">
        <f>+B54</f>
        <v>0</v>
      </c>
      <c r="I7" s="56" t="s">
        <v>28</v>
      </c>
    </row>
    <row r="8" spans="1:9" ht="18" x14ac:dyDescent="0.35">
      <c r="A8" t="s">
        <v>20</v>
      </c>
      <c r="B8">
        <f>+VLOOKUP($B$3,Data!$A$4:$B$17,2)</f>
        <v>693</v>
      </c>
      <c r="C8" t="s">
        <v>17</v>
      </c>
    </row>
    <row r="9" spans="1:9" x14ac:dyDescent="0.25">
      <c r="G9" s="8" t="s">
        <v>37</v>
      </c>
    </row>
    <row r="10" spans="1:9" x14ac:dyDescent="0.25">
      <c r="A10" s="2" t="s">
        <v>79</v>
      </c>
    </row>
    <row r="11" spans="1:9" x14ac:dyDescent="0.25">
      <c r="A11" s="2" t="s">
        <v>80</v>
      </c>
      <c r="G11" s="2" t="s">
        <v>38</v>
      </c>
    </row>
    <row r="12" spans="1:9" x14ac:dyDescent="0.25">
      <c r="A12" t="s">
        <v>47</v>
      </c>
      <c r="B12" s="7" t="s">
        <v>85</v>
      </c>
      <c r="G12" s="46" t="s">
        <v>39</v>
      </c>
      <c r="H12" s="46">
        <v>28</v>
      </c>
      <c r="I12" s="46" t="s">
        <v>40</v>
      </c>
    </row>
    <row r="13" spans="1:9" ht="18.75" x14ac:dyDescent="0.35">
      <c r="A13" t="s">
        <v>42</v>
      </c>
      <c r="B13" s="6"/>
      <c r="C13" t="s">
        <v>21</v>
      </c>
      <c r="G13" s="29"/>
      <c r="H13" s="29"/>
      <c r="I13" s="29"/>
    </row>
    <row r="14" spans="1:9" ht="18" x14ac:dyDescent="0.35">
      <c r="A14" t="s">
        <v>78</v>
      </c>
      <c r="B14" s="13">
        <f>INDEX(Data!$B$32:$B$56,+MATCH(B12,Data!$A$32:$A$56,0),1)</f>
        <v>0</v>
      </c>
      <c r="C14" t="s">
        <v>22</v>
      </c>
      <c r="G14" s="57" t="s">
        <v>183</v>
      </c>
      <c r="H14" s="27"/>
      <c r="I14" s="27"/>
    </row>
    <row r="15" spans="1:9" ht="18.75" x14ac:dyDescent="0.35">
      <c r="G15" s="58" t="s">
        <v>87</v>
      </c>
      <c r="H15" s="59">
        <f>+MIN(H3,H7)*H12/365</f>
        <v>0</v>
      </c>
      <c r="I15" s="58" t="s">
        <v>88</v>
      </c>
    </row>
    <row r="16" spans="1:9" x14ac:dyDescent="0.25">
      <c r="A16" t="s">
        <v>48</v>
      </c>
      <c r="B16" s="7" t="s">
        <v>85</v>
      </c>
    </row>
    <row r="17" spans="1:13" ht="18.75" x14ac:dyDescent="0.35">
      <c r="A17" t="s">
        <v>43</v>
      </c>
      <c r="B17" s="6"/>
      <c r="C17" t="s">
        <v>21</v>
      </c>
    </row>
    <row r="18" spans="1:13" ht="18" x14ac:dyDescent="0.35">
      <c r="A18" t="s">
        <v>81</v>
      </c>
      <c r="B18" s="13">
        <f>INDEX(Data!$B$32:$B$56,+MATCH(B16,Data!$A$32:$A$56,0),1)</f>
        <v>0</v>
      </c>
      <c r="C18" t="s">
        <v>22</v>
      </c>
    </row>
    <row r="20" spans="1:13" x14ac:dyDescent="0.25">
      <c r="A20" t="s">
        <v>49</v>
      </c>
      <c r="B20" s="7" t="s">
        <v>85</v>
      </c>
    </row>
    <row r="21" spans="1:13" ht="18.75" x14ac:dyDescent="0.35">
      <c r="A21" t="s">
        <v>44</v>
      </c>
      <c r="B21" s="6"/>
      <c r="C21" t="s">
        <v>21</v>
      </c>
    </row>
    <row r="22" spans="1:13" ht="18" x14ac:dyDescent="0.35">
      <c r="A22" t="s">
        <v>82</v>
      </c>
      <c r="B22" s="13">
        <f>INDEX(Data!$B$32:$B$56,+MATCH(B20,Data!$A$32:$A$56,0),1)</f>
        <v>0</v>
      </c>
      <c r="C22" t="s">
        <v>22</v>
      </c>
    </row>
    <row r="24" spans="1:13" x14ac:dyDescent="0.25">
      <c r="A24" t="s">
        <v>50</v>
      </c>
      <c r="B24" s="7" t="s">
        <v>85</v>
      </c>
    </row>
    <row r="25" spans="1:13" ht="18.75" x14ac:dyDescent="0.35">
      <c r="A25" t="s">
        <v>45</v>
      </c>
      <c r="B25" s="6"/>
      <c r="C25" t="s">
        <v>21</v>
      </c>
    </row>
    <row r="26" spans="1:13" ht="18" x14ac:dyDescent="0.35">
      <c r="A26" t="s">
        <v>83</v>
      </c>
      <c r="B26" s="13">
        <f>INDEX(Data!$B$32:$B$56,+MATCH(B24,Data!$A$32:$A$56,0),1)</f>
        <v>0</v>
      </c>
      <c r="C26" t="s">
        <v>22</v>
      </c>
    </row>
    <row r="28" spans="1:13" x14ac:dyDescent="0.25">
      <c r="A28" t="s">
        <v>51</v>
      </c>
      <c r="B28" s="7" t="s">
        <v>85</v>
      </c>
    </row>
    <row r="29" spans="1:13" ht="18.75" x14ac:dyDescent="0.35">
      <c r="A29" t="s">
        <v>46</v>
      </c>
      <c r="B29" s="6"/>
      <c r="C29" t="s">
        <v>21</v>
      </c>
    </row>
    <row r="30" spans="1:13" ht="18" x14ac:dyDescent="0.35">
      <c r="A30" t="s">
        <v>84</v>
      </c>
      <c r="B30" s="13">
        <f>INDEX(Data!$B$32:$B$56,+MATCH(B28,Data!$A$32:$A$56,0),1)</f>
        <v>0</v>
      </c>
      <c r="C30" t="s">
        <v>22</v>
      </c>
    </row>
    <row r="31" spans="1:13" x14ac:dyDescent="0.25">
      <c r="M31" s="5"/>
    </row>
    <row r="32" spans="1:13" x14ac:dyDescent="0.25">
      <c r="A32" s="2" t="s">
        <v>25</v>
      </c>
    </row>
    <row r="33" spans="1:3" x14ac:dyDescent="0.25">
      <c r="A33" t="s">
        <v>24</v>
      </c>
      <c r="B33" s="6">
        <v>0.9</v>
      </c>
      <c r="C33" t="s">
        <v>22</v>
      </c>
    </row>
    <row r="35" spans="1:3" x14ac:dyDescent="0.25">
      <c r="A35" s="2" t="s">
        <v>102</v>
      </c>
    </row>
    <row r="36" spans="1:3" ht="18.75" x14ac:dyDescent="0.35">
      <c r="A36" t="s">
        <v>103</v>
      </c>
      <c r="B36" s="11">
        <f>+B8*(B13*B14+B17*B18+B21*B22+B25*B26+B29*B30)*B33/1000</f>
        <v>0</v>
      </c>
      <c r="C36" t="s">
        <v>104</v>
      </c>
    </row>
    <row r="38" spans="1:3" x14ac:dyDescent="0.25">
      <c r="A38" s="3" t="s">
        <v>105</v>
      </c>
    </row>
    <row r="39" spans="1:3" x14ac:dyDescent="0.25">
      <c r="A39" s="16" t="s">
        <v>177</v>
      </c>
    </row>
    <row r="40" spans="1:3" x14ac:dyDescent="0.25">
      <c r="A40" s="3"/>
    </row>
    <row r="41" spans="1:3" x14ac:dyDescent="0.25">
      <c r="A41" s="2" t="s">
        <v>32</v>
      </c>
    </row>
    <row r="42" spans="1:3" ht="18.75" x14ac:dyDescent="0.35">
      <c r="A42" t="s">
        <v>29</v>
      </c>
      <c r="B42" s="21"/>
      <c r="C42" t="s">
        <v>115</v>
      </c>
    </row>
    <row r="44" spans="1:3" x14ac:dyDescent="0.25">
      <c r="A44" s="2" t="s">
        <v>30</v>
      </c>
    </row>
    <row r="45" spans="1:3" x14ac:dyDescent="0.25">
      <c r="A45" t="s">
        <v>23</v>
      </c>
      <c r="B45" s="6"/>
      <c r="C45" t="s">
        <v>31</v>
      </c>
    </row>
    <row r="47" spans="1:3" x14ac:dyDescent="0.25">
      <c r="A47" s="2" t="s">
        <v>33</v>
      </c>
    </row>
    <row r="48" spans="1:3" ht="18.75" x14ac:dyDescent="0.35">
      <c r="A48" t="s">
        <v>34</v>
      </c>
      <c r="B48" s="21">
        <v>0</v>
      </c>
      <c r="C48" t="s">
        <v>122</v>
      </c>
    </row>
    <row r="50" spans="1:3" x14ac:dyDescent="0.25">
      <c r="A50" s="2" t="s">
        <v>35</v>
      </c>
    </row>
    <row r="51" spans="1:3" x14ac:dyDescent="0.25">
      <c r="A51" t="s">
        <v>23</v>
      </c>
      <c r="B51" s="6">
        <v>0</v>
      </c>
      <c r="C51" t="s">
        <v>36</v>
      </c>
    </row>
    <row r="53" spans="1:3" x14ac:dyDescent="0.25">
      <c r="A53" s="2" t="s">
        <v>86</v>
      </c>
    </row>
    <row r="54" spans="1:3" ht="18.75" x14ac:dyDescent="0.35">
      <c r="A54" t="s">
        <v>106</v>
      </c>
      <c r="B54">
        <f>(+B42*B45+B48*B51)*365/1000</f>
        <v>0</v>
      </c>
      <c r="C54" t="s">
        <v>104</v>
      </c>
    </row>
    <row r="56" spans="1:3" x14ac:dyDescent="0.25">
      <c r="A56" s="3" t="s">
        <v>184</v>
      </c>
    </row>
    <row r="57" spans="1:3" ht="17.25" x14ac:dyDescent="0.25">
      <c r="A57" s="16" t="s">
        <v>118</v>
      </c>
      <c r="B57" s="16" t="s">
        <v>211</v>
      </c>
    </row>
    <row r="58" spans="1:3" ht="17.25" x14ac:dyDescent="0.25">
      <c r="A58" s="19" t="s">
        <v>119</v>
      </c>
      <c r="B58" s="16" t="s">
        <v>202</v>
      </c>
    </row>
    <row r="59" spans="1:3" ht="17.25" x14ac:dyDescent="0.25">
      <c r="A59" s="19" t="s">
        <v>117</v>
      </c>
      <c r="B59" s="16" t="s">
        <v>203</v>
      </c>
    </row>
  </sheetData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Data!$A$32:$A$57</xm:f>
          </x14:formula1>
          <xm:sqref>B20</xm:sqref>
        </x14:dataValidation>
        <x14:dataValidation type="list" allowBlank="1" showInputMessage="1" showErrorMessage="1" xr:uid="{00000000-0002-0000-0100-000001000000}">
          <x14:formula1>
            <xm:f>Data!$A$32:$A$56</xm:f>
          </x14:formula1>
          <xm:sqref>B24 B16 B12 B28</xm:sqref>
        </x14:dataValidation>
        <x14:dataValidation type="list" allowBlank="1" showInputMessage="1" showErrorMessage="1" xr:uid="{00000000-0002-0000-0100-000005000000}">
          <x14:formula1>
            <xm:f>Data!$A$4:$A$17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K90"/>
  <sheetViews>
    <sheetView topLeftCell="A43" workbookViewId="0">
      <selection activeCell="B3" sqref="B3:M3"/>
    </sheetView>
  </sheetViews>
  <sheetFormatPr defaultRowHeight="15" x14ac:dyDescent="0.25"/>
  <cols>
    <col min="1" max="1" width="21.5703125" customWidth="1"/>
    <col min="2" max="13" width="6.7109375" customWidth="1"/>
    <col min="17" max="19" width="12.7109375" customWidth="1"/>
    <col min="20" max="20" width="11.7109375" customWidth="1"/>
    <col min="21" max="22" width="10.7109375" customWidth="1"/>
    <col min="23" max="23" width="6.7109375" customWidth="1"/>
    <col min="24" max="24" width="18.28515625" customWidth="1"/>
    <col min="25" max="36" width="7.7109375" customWidth="1"/>
  </cols>
  <sheetData>
    <row r="1" spans="1:36" ht="18.75" x14ac:dyDescent="0.3">
      <c r="A1" s="1" t="s">
        <v>126</v>
      </c>
    </row>
    <row r="2" spans="1:36" x14ac:dyDescent="0.25">
      <c r="Q2" s="29"/>
      <c r="R2" s="64"/>
      <c r="S2" s="65"/>
      <c r="T2" s="22"/>
      <c r="U2" s="22"/>
      <c r="V2" s="22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</row>
    <row r="3" spans="1:36" ht="18" x14ac:dyDescent="0.35">
      <c r="A3" t="s">
        <v>2</v>
      </c>
      <c r="B3" s="95" t="s">
        <v>7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Q3" s="54" t="s">
        <v>189</v>
      </c>
      <c r="R3" s="27"/>
      <c r="S3" s="27"/>
      <c r="U3" s="25"/>
      <c r="V3" s="25"/>
      <c r="X3" s="73" t="s">
        <v>123</v>
      </c>
      <c r="Y3" s="74"/>
      <c r="Z3" s="75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18" x14ac:dyDescent="0.35">
      <c r="Q4" s="54" t="s">
        <v>204</v>
      </c>
      <c r="R4" s="27"/>
      <c r="S4" s="27"/>
      <c r="U4" s="25"/>
      <c r="X4" s="22" t="s">
        <v>107</v>
      </c>
      <c r="Y4" s="5" t="s">
        <v>89</v>
      </c>
      <c r="Z4" s="5" t="s">
        <v>90</v>
      </c>
      <c r="AA4" s="5" t="s">
        <v>91</v>
      </c>
      <c r="AB4" s="5" t="s">
        <v>92</v>
      </c>
      <c r="AC4" s="5" t="s">
        <v>93</v>
      </c>
      <c r="AD4" s="5" t="s">
        <v>94</v>
      </c>
      <c r="AE4" s="5" t="s">
        <v>95</v>
      </c>
      <c r="AF4" s="5" t="s">
        <v>96</v>
      </c>
      <c r="AG4" s="5" t="s">
        <v>97</v>
      </c>
      <c r="AH4" s="5" t="s">
        <v>98</v>
      </c>
      <c r="AI4" s="5" t="s">
        <v>99</v>
      </c>
      <c r="AJ4" s="5" t="s">
        <v>100</v>
      </c>
    </row>
    <row r="5" spans="1:36" ht="18" x14ac:dyDescent="0.35">
      <c r="A5" s="3" t="s">
        <v>109</v>
      </c>
      <c r="Q5" s="66" t="s">
        <v>190</v>
      </c>
      <c r="R5" s="67"/>
      <c r="S5" s="67"/>
      <c r="X5" t="s">
        <v>111</v>
      </c>
      <c r="Y5" s="26">
        <f>+B38</f>
        <v>0</v>
      </c>
      <c r="Z5" s="26">
        <f t="shared" ref="Z5:AJ5" si="0">+C38</f>
        <v>0</v>
      </c>
      <c r="AA5" s="26">
        <f t="shared" si="0"/>
        <v>0</v>
      </c>
      <c r="AB5" s="26">
        <f t="shared" si="0"/>
        <v>0</v>
      </c>
      <c r="AC5" s="26">
        <f t="shared" si="0"/>
        <v>0</v>
      </c>
      <c r="AD5" s="26">
        <f t="shared" si="0"/>
        <v>0</v>
      </c>
      <c r="AE5" s="26">
        <f t="shared" si="0"/>
        <v>0</v>
      </c>
      <c r="AF5" s="26">
        <f t="shared" si="0"/>
        <v>0</v>
      </c>
      <c r="AG5" s="26">
        <f t="shared" si="0"/>
        <v>0</v>
      </c>
      <c r="AH5" s="26">
        <f t="shared" si="0"/>
        <v>0</v>
      </c>
      <c r="AI5" s="26">
        <f t="shared" si="0"/>
        <v>0</v>
      </c>
      <c r="AJ5" s="26">
        <f t="shared" si="0"/>
        <v>0</v>
      </c>
    </row>
    <row r="6" spans="1:36" ht="18.75" x14ac:dyDescent="0.35">
      <c r="Q6" s="68" t="s">
        <v>127</v>
      </c>
      <c r="R6" s="69" t="s">
        <v>146</v>
      </c>
      <c r="S6" s="69" t="s">
        <v>128</v>
      </c>
      <c r="U6" s="5"/>
      <c r="V6" s="5"/>
      <c r="X6" s="29" t="s">
        <v>114</v>
      </c>
      <c r="Y6" s="76">
        <f>+B61</f>
        <v>0</v>
      </c>
      <c r="Z6" s="76">
        <f t="shared" ref="Z6:AJ6" si="1">+C61</f>
        <v>0</v>
      </c>
      <c r="AA6" s="76">
        <f t="shared" si="1"/>
        <v>0</v>
      </c>
      <c r="AB6" s="76">
        <f t="shared" si="1"/>
        <v>72</v>
      </c>
      <c r="AC6" s="76">
        <f t="shared" si="1"/>
        <v>55.8</v>
      </c>
      <c r="AD6" s="76">
        <f t="shared" si="1"/>
        <v>90</v>
      </c>
      <c r="AE6" s="76">
        <f t="shared" si="1"/>
        <v>74.400000000000006</v>
      </c>
      <c r="AF6" s="76">
        <f t="shared" si="1"/>
        <v>74.400000000000006</v>
      </c>
      <c r="AG6" s="76">
        <f t="shared" si="1"/>
        <v>27</v>
      </c>
      <c r="AH6" s="76">
        <f t="shared" si="1"/>
        <v>0</v>
      </c>
      <c r="AI6" s="76">
        <f t="shared" si="1"/>
        <v>0</v>
      </c>
      <c r="AJ6" s="76">
        <f t="shared" si="1"/>
        <v>0</v>
      </c>
    </row>
    <row r="7" spans="1:36" ht="18.75" x14ac:dyDescent="0.35">
      <c r="A7" s="2" t="s">
        <v>1</v>
      </c>
      <c r="Q7" s="61">
        <f>+(B14*B15+B18*B19+B22*B23+B26*B27+B30*B31)*B34*0.015</f>
        <v>0</v>
      </c>
      <c r="R7" s="63" t="e">
        <f>+AB10</f>
        <v>#DIV/0!</v>
      </c>
      <c r="S7" s="23">
        <f>+AI10</f>
        <v>0</v>
      </c>
      <c r="V7" s="26"/>
      <c r="X7" s="14" t="s">
        <v>185</v>
      </c>
      <c r="Y7" s="71">
        <f>+Q7</f>
        <v>0</v>
      </c>
      <c r="Z7" s="14" t="s">
        <v>129</v>
      </c>
    </row>
    <row r="8" spans="1:36" ht="18" x14ac:dyDescent="0.35">
      <c r="A8" s="14" t="s">
        <v>107</v>
      </c>
      <c r="B8" s="5" t="s">
        <v>89</v>
      </c>
      <c r="C8" s="5" t="s">
        <v>90</v>
      </c>
      <c r="D8" s="5" t="s">
        <v>91</v>
      </c>
      <c r="E8" s="5" t="s">
        <v>92</v>
      </c>
      <c r="F8" s="5" t="s">
        <v>93</v>
      </c>
      <c r="G8" s="5" t="s">
        <v>94</v>
      </c>
      <c r="H8" s="5" t="s">
        <v>95</v>
      </c>
      <c r="I8" s="5" t="s">
        <v>96</v>
      </c>
      <c r="J8" s="5" t="s">
        <v>97</v>
      </c>
      <c r="K8" s="5" t="s">
        <v>98</v>
      </c>
      <c r="L8" s="5" t="s">
        <v>99</v>
      </c>
      <c r="M8" s="5" t="s">
        <v>100</v>
      </c>
      <c r="Q8" s="61">
        <f>+(B14*B15+B18*B19+B22*B23+B26*B27+B30*B31)*B34*0.025</f>
        <v>0</v>
      </c>
      <c r="R8" s="63" t="e">
        <f>+AB14</f>
        <v>#DIV/0!</v>
      </c>
      <c r="S8" s="23">
        <f>+AI14</f>
        <v>0</v>
      </c>
      <c r="V8" s="26"/>
      <c r="X8" t="s">
        <v>124</v>
      </c>
      <c r="Y8" s="72">
        <f>+MIN(Y$6,0+Y$5)</f>
        <v>0</v>
      </c>
      <c r="Z8" s="72">
        <f>+MIN(Z$6,Y9+Z$5)</f>
        <v>0</v>
      </c>
      <c r="AA8" s="72">
        <f t="shared" ref="AA8:AJ8" si="2">+MIN(AA$6,Z9+AA$5)</f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</row>
    <row r="9" spans="1:36" ht="18" x14ac:dyDescent="0.35">
      <c r="A9" t="s">
        <v>101</v>
      </c>
      <c r="B9">
        <f>+VLOOKUP($B$3,Data!$A$4:$N$17,3)</f>
        <v>56</v>
      </c>
      <c r="C9">
        <f>+VLOOKUP($B$3,Data!$A$4:$N$17,4)</f>
        <v>45</v>
      </c>
      <c r="D9">
        <f>+VLOOKUP($B$3,Data!$A$4:$N$17,5)</f>
        <v>53</v>
      </c>
      <c r="E9">
        <f>+VLOOKUP($B$3,Data!$A$4:$N$17,6)</f>
        <v>37</v>
      </c>
      <c r="F9">
        <f>+VLOOKUP($B$3,Data!$A$4:$N$17,7)</f>
        <v>69</v>
      </c>
      <c r="G9">
        <f>+VLOOKUP($B$3,Data!$A$4:$N$17,8)</f>
        <v>77</v>
      </c>
      <c r="H9">
        <f>+VLOOKUP($B$3,Data!$A$4:$N$17,9)</f>
        <v>93</v>
      </c>
      <c r="I9">
        <f>+VLOOKUP($B$3,Data!$A$4:$N$17,10)</f>
        <v>77</v>
      </c>
      <c r="J9">
        <f>+VLOOKUP($B$3,Data!$A$4:$N$17,11)</f>
        <v>60</v>
      </c>
      <c r="K9">
        <f>+VLOOKUP($B$3,Data!$A$4:$N$17,12)</f>
        <v>54</v>
      </c>
      <c r="L9">
        <f>+VLOOKUP($B$3,Data!$A$4:$N$17,13)</f>
        <v>52</v>
      </c>
      <c r="M9">
        <f>+VLOOKUP($B$3,Data!$A$4:$N$17,14)</f>
        <v>59</v>
      </c>
      <c r="N9" t="s">
        <v>17</v>
      </c>
      <c r="Q9" s="61">
        <f>+(B14*B15+B18*B19+B22*B23+B26*B27+B30*B31)*B34*0.035</f>
        <v>0</v>
      </c>
      <c r="R9" s="63" t="e">
        <f>+AB18</f>
        <v>#DIV/0!</v>
      </c>
      <c r="S9" s="23">
        <f>+AI18</f>
        <v>0</v>
      </c>
      <c r="V9" s="26"/>
      <c r="X9" t="s">
        <v>125</v>
      </c>
      <c r="Y9" s="72">
        <f>+IF(B$68="ano",0,MIN(0+Y$5-Y8,$Y7))</f>
        <v>0</v>
      </c>
      <c r="Z9" s="72">
        <f t="shared" ref="Z9:AJ9" si="3">+IF(C$68="ano",0,MIN(Y9+Z$5-Z8,$Y7))</f>
        <v>0</v>
      </c>
      <c r="AA9" s="72">
        <f t="shared" si="3"/>
        <v>0</v>
      </c>
      <c r="AB9" s="72">
        <f t="shared" si="3"/>
        <v>0</v>
      </c>
      <c r="AC9" s="72">
        <f t="shared" si="3"/>
        <v>0</v>
      </c>
      <c r="AD9" s="72">
        <f t="shared" si="3"/>
        <v>0</v>
      </c>
      <c r="AE9" s="72">
        <f t="shared" si="3"/>
        <v>0</v>
      </c>
      <c r="AF9" s="72">
        <f t="shared" si="3"/>
        <v>0</v>
      </c>
      <c r="AG9" s="72">
        <f t="shared" si="3"/>
        <v>0</v>
      </c>
      <c r="AH9" s="72">
        <f t="shared" si="3"/>
        <v>0</v>
      </c>
      <c r="AI9" s="72">
        <f t="shared" si="3"/>
        <v>0</v>
      </c>
      <c r="AJ9" s="72">
        <f t="shared" si="3"/>
        <v>0</v>
      </c>
    </row>
    <row r="10" spans="1:36" ht="18.75" x14ac:dyDescent="0.35">
      <c r="Q10" s="62">
        <f>+(B14*B15+B18*B19+B22*B23+B26*B27+B30*B31)*B34*0.045</f>
        <v>0</v>
      </c>
      <c r="R10" s="62" t="e">
        <f>+AB22</f>
        <v>#DIV/0!</v>
      </c>
      <c r="S10" s="23">
        <f>+AI22</f>
        <v>0</v>
      </c>
      <c r="V10" s="26"/>
      <c r="X10" s="77" t="s">
        <v>205</v>
      </c>
      <c r="Y10" s="77"/>
      <c r="Z10" s="77"/>
      <c r="AA10" s="77" t="s">
        <v>186</v>
      </c>
      <c r="AB10" s="78" t="e">
        <f>+SUM(Y8:AJ8)/$Y7</f>
        <v>#DIV/0!</v>
      </c>
      <c r="AC10" s="77" t="s">
        <v>201</v>
      </c>
      <c r="AD10" s="77" t="s">
        <v>130</v>
      </c>
      <c r="AE10" s="77"/>
      <c r="AF10" s="77"/>
      <c r="AG10" s="77"/>
      <c r="AH10" s="77" t="s">
        <v>187</v>
      </c>
      <c r="AI10" s="78">
        <f>+SUM(Y8:AJ8)/SUM(Y$6:AJ$6)*100</f>
        <v>0</v>
      </c>
      <c r="AJ10" s="77" t="s">
        <v>121</v>
      </c>
    </row>
    <row r="11" spans="1:36" ht="18.75" x14ac:dyDescent="0.35">
      <c r="A11" s="2" t="s">
        <v>79</v>
      </c>
      <c r="Q11" s="62">
        <f>+(B14*B15+B18*B19+B22*B23+B26*B27+B30*B31)*B34*0.055</f>
        <v>0</v>
      </c>
      <c r="R11" s="62" t="e">
        <f>+AB26</f>
        <v>#DIV/0!</v>
      </c>
      <c r="S11" s="23">
        <f>+AI26</f>
        <v>0</v>
      </c>
      <c r="V11" s="26"/>
      <c r="X11" s="14" t="s">
        <v>185</v>
      </c>
      <c r="Y11" s="71">
        <f>+Q8</f>
        <v>0</v>
      </c>
      <c r="Z11" s="14" t="s">
        <v>129</v>
      </c>
    </row>
    <row r="12" spans="1:36" ht="18" x14ac:dyDescent="0.35">
      <c r="A12" s="2" t="s">
        <v>80</v>
      </c>
      <c r="O12" s="11"/>
      <c r="Q12" s="62">
        <f>+(B14*B15+B18*B19+B22*B23+B26*B27+B30*B31)*B34*0.065</f>
        <v>0</v>
      </c>
      <c r="R12" s="62" t="e">
        <f>+AB30</f>
        <v>#DIV/0!</v>
      </c>
      <c r="S12" s="23">
        <f>+AI30</f>
        <v>0</v>
      </c>
      <c r="V12" s="26"/>
      <c r="X12" t="s">
        <v>124</v>
      </c>
      <c r="Y12" s="72">
        <f>+MIN(Y$6,0+Y$5)</f>
        <v>0</v>
      </c>
      <c r="Z12" s="72">
        <f>+MIN(Z$6,Y13+Z$5)</f>
        <v>0</v>
      </c>
      <c r="AA12" s="72">
        <f t="shared" ref="AA12:AJ12" si="4">+MIN(AA$6,Z13+AA$5)</f>
        <v>0</v>
      </c>
      <c r="AB12" s="72">
        <f t="shared" si="4"/>
        <v>0</v>
      </c>
      <c r="AC12" s="72">
        <f t="shared" si="4"/>
        <v>0</v>
      </c>
      <c r="AD12" s="72">
        <f t="shared" si="4"/>
        <v>0</v>
      </c>
      <c r="AE12" s="72">
        <f t="shared" si="4"/>
        <v>0</v>
      </c>
      <c r="AF12" s="72">
        <f t="shared" si="4"/>
        <v>0</v>
      </c>
      <c r="AG12" s="72">
        <f t="shared" si="4"/>
        <v>0</v>
      </c>
      <c r="AH12" s="72">
        <f t="shared" si="4"/>
        <v>0</v>
      </c>
      <c r="AI12" s="72">
        <f t="shared" si="4"/>
        <v>0</v>
      </c>
      <c r="AJ12" s="72">
        <f t="shared" si="4"/>
        <v>0</v>
      </c>
    </row>
    <row r="13" spans="1:36" ht="18" x14ac:dyDescent="0.35">
      <c r="A13" t="s">
        <v>47</v>
      </c>
      <c r="B13" s="95" t="s">
        <v>85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O13" s="11"/>
      <c r="Q13" s="62">
        <f>+(B14*B15+B18*B19+B22*B23+B26*B27+B30*B31)*B34*0.075</f>
        <v>0</v>
      </c>
      <c r="R13" s="62" t="e">
        <f>+AB34</f>
        <v>#DIV/0!</v>
      </c>
      <c r="S13" s="23">
        <f>+AI34</f>
        <v>0</v>
      </c>
      <c r="V13" s="26"/>
      <c r="X13" t="s">
        <v>125</v>
      </c>
      <c r="Y13" s="72">
        <f>+IF(B$68="ano",0,MIN(0+Y$5-Y12,$Y11))</f>
        <v>0</v>
      </c>
      <c r="Z13" s="72">
        <f t="shared" ref="Z13:AJ13" si="5">+IF(C$68="ano",0,MIN(Y13+Z$5-Z12,$Y11))</f>
        <v>0</v>
      </c>
      <c r="AA13" s="72">
        <f t="shared" si="5"/>
        <v>0</v>
      </c>
      <c r="AB13" s="72">
        <f t="shared" si="5"/>
        <v>0</v>
      </c>
      <c r="AC13" s="72">
        <f t="shared" si="5"/>
        <v>0</v>
      </c>
      <c r="AD13" s="72">
        <f t="shared" si="5"/>
        <v>0</v>
      </c>
      <c r="AE13" s="72">
        <f t="shared" si="5"/>
        <v>0</v>
      </c>
      <c r="AF13" s="72">
        <f t="shared" si="5"/>
        <v>0</v>
      </c>
      <c r="AG13" s="72">
        <f t="shared" si="5"/>
        <v>0</v>
      </c>
      <c r="AH13" s="72">
        <f t="shared" si="5"/>
        <v>0</v>
      </c>
      <c r="AI13" s="72">
        <f t="shared" si="5"/>
        <v>0</v>
      </c>
      <c r="AJ13" s="72">
        <f t="shared" si="5"/>
        <v>0</v>
      </c>
    </row>
    <row r="14" spans="1:36" ht="18.75" x14ac:dyDescent="0.35">
      <c r="A14" t="s">
        <v>42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t="s">
        <v>21</v>
      </c>
      <c r="Q14" s="62">
        <f>+(B14*B15+B18*B19+B22*B23+B26*B27+B30*B31)*B34*0.085</f>
        <v>0</v>
      </c>
      <c r="R14" s="62" t="e">
        <f>+AB38</f>
        <v>#DIV/0!</v>
      </c>
      <c r="S14" s="23">
        <f>+AI38</f>
        <v>0</v>
      </c>
      <c r="V14" s="26"/>
      <c r="X14" s="77" t="s">
        <v>205</v>
      </c>
      <c r="Y14" s="77"/>
      <c r="Z14" s="77"/>
      <c r="AA14" s="77" t="s">
        <v>186</v>
      </c>
      <c r="AB14" s="78" t="e">
        <f>+SUM(Y12:AJ12)/$Y11</f>
        <v>#DIV/0!</v>
      </c>
      <c r="AC14" s="77" t="s">
        <v>201</v>
      </c>
      <c r="AD14" s="77" t="s">
        <v>130</v>
      </c>
      <c r="AE14" s="77"/>
      <c r="AF14" s="77"/>
      <c r="AG14" s="77"/>
      <c r="AH14" s="77" t="s">
        <v>187</v>
      </c>
      <c r="AI14" s="78">
        <f>+SUM(Y12:AJ12)/SUM(Y$6:AJ$6)*100</f>
        <v>0</v>
      </c>
      <c r="AJ14" s="77" t="s">
        <v>121</v>
      </c>
    </row>
    <row r="15" spans="1:36" ht="18.75" x14ac:dyDescent="0.35">
      <c r="A15" t="s">
        <v>78</v>
      </c>
      <c r="B15" s="94">
        <f>INDEX(Data!$B$32:$B$56,+MATCH(B13,Data!$A$32:$A$56,0),1)</f>
        <v>0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t="s">
        <v>22</v>
      </c>
      <c r="Q15" s="70">
        <f>+(B14*B15+B18*B19+B22*B23+B26*B27+B30*B31)*B34*0.095</f>
        <v>0</v>
      </c>
      <c r="R15" s="70" t="e">
        <f>+AB42</f>
        <v>#DIV/0!</v>
      </c>
      <c r="S15" s="53">
        <f>+AI42</f>
        <v>0</v>
      </c>
      <c r="V15" s="26"/>
      <c r="X15" s="14" t="s">
        <v>185</v>
      </c>
      <c r="Y15" s="71">
        <f>+Q9</f>
        <v>0</v>
      </c>
      <c r="Z15" s="14" t="s">
        <v>129</v>
      </c>
    </row>
    <row r="16" spans="1:36" ht="18" x14ac:dyDescent="0.35">
      <c r="X16" t="s">
        <v>124</v>
      </c>
      <c r="Y16" s="72">
        <f>+MIN(Y$6,0+Y$5)</f>
        <v>0</v>
      </c>
      <c r="Z16" s="72">
        <f>+MIN(Z$6,Y17+Z$5)</f>
        <v>0</v>
      </c>
      <c r="AA16" s="72">
        <f t="shared" ref="AA16:AJ16" si="6">+MIN(AA$6,Z17+AA$5)</f>
        <v>0</v>
      </c>
      <c r="AB16" s="72">
        <f t="shared" si="6"/>
        <v>0</v>
      </c>
      <c r="AC16" s="72">
        <f t="shared" si="6"/>
        <v>0</v>
      </c>
      <c r="AD16" s="72">
        <f t="shared" si="6"/>
        <v>0</v>
      </c>
      <c r="AE16" s="72">
        <f t="shared" si="6"/>
        <v>0</v>
      </c>
      <c r="AF16" s="72">
        <f t="shared" si="6"/>
        <v>0</v>
      </c>
      <c r="AG16" s="72">
        <f t="shared" si="6"/>
        <v>0</v>
      </c>
      <c r="AH16" s="72">
        <f t="shared" si="6"/>
        <v>0</v>
      </c>
      <c r="AI16" s="72">
        <f t="shared" si="6"/>
        <v>0</v>
      </c>
      <c r="AJ16" s="72">
        <f t="shared" si="6"/>
        <v>0</v>
      </c>
    </row>
    <row r="17" spans="1:37" ht="18" x14ac:dyDescent="0.35">
      <c r="A17" t="s">
        <v>48</v>
      </c>
      <c r="B17" s="95" t="s">
        <v>85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W17" s="26"/>
      <c r="X17" t="s">
        <v>125</v>
      </c>
      <c r="Y17" s="72">
        <f>+IF(B$68="ano",0,MIN(0+Y$5-Y16,$Y15))</f>
        <v>0</v>
      </c>
      <c r="Z17" s="72">
        <f t="shared" ref="Z17:AJ17" si="7">+IF(C$68="ano",0,MIN(Y17+Z$5-Z16,$Y15))</f>
        <v>0</v>
      </c>
      <c r="AA17" s="72">
        <f t="shared" si="7"/>
        <v>0</v>
      </c>
      <c r="AB17" s="72">
        <f t="shared" si="7"/>
        <v>0</v>
      </c>
      <c r="AC17" s="72">
        <f t="shared" si="7"/>
        <v>0</v>
      </c>
      <c r="AD17" s="72">
        <f t="shared" si="7"/>
        <v>0</v>
      </c>
      <c r="AE17" s="72">
        <f t="shared" si="7"/>
        <v>0</v>
      </c>
      <c r="AF17" s="72">
        <f t="shared" si="7"/>
        <v>0</v>
      </c>
      <c r="AG17" s="72">
        <f t="shared" si="7"/>
        <v>0</v>
      </c>
      <c r="AH17" s="72">
        <f t="shared" si="7"/>
        <v>0</v>
      </c>
      <c r="AI17" s="72">
        <f t="shared" si="7"/>
        <v>0</v>
      </c>
      <c r="AJ17" s="72">
        <f t="shared" si="7"/>
        <v>0</v>
      </c>
    </row>
    <row r="18" spans="1:37" ht="18.75" x14ac:dyDescent="0.35">
      <c r="A18" t="s">
        <v>43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t="s">
        <v>21</v>
      </c>
      <c r="W18" s="26"/>
      <c r="X18" s="77" t="s">
        <v>205</v>
      </c>
      <c r="Y18" s="77"/>
      <c r="Z18" s="77"/>
      <c r="AA18" s="77" t="s">
        <v>186</v>
      </c>
      <c r="AB18" s="78" t="e">
        <f>+SUM(Y16:AJ16)/$Y15</f>
        <v>#DIV/0!</v>
      </c>
      <c r="AC18" s="77" t="s">
        <v>201</v>
      </c>
      <c r="AD18" s="77" t="s">
        <v>130</v>
      </c>
      <c r="AE18" s="77"/>
      <c r="AF18" s="77"/>
      <c r="AG18" s="77"/>
      <c r="AH18" s="77" t="s">
        <v>187</v>
      </c>
      <c r="AI18" s="78">
        <f>+SUM(Y16:AJ16)/SUM(Y$6:AJ$6)*100</f>
        <v>0</v>
      </c>
      <c r="AJ18" s="77" t="s">
        <v>121</v>
      </c>
    </row>
    <row r="19" spans="1:37" ht="18.75" x14ac:dyDescent="0.35">
      <c r="A19" t="s">
        <v>81</v>
      </c>
      <c r="B19" s="94">
        <f>INDEX(Data!$B$32:$B$56,+MATCH(B17,Data!$A$32:$A$56,0),1)</f>
        <v>0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t="s">
        <v>22</v>
      </c>
      <c r="W19" s="22"/>
      <c r="X19" s="22" t="s">
        <v>215</v>
      </c>
      <c r="Y19" s="93">
        <f>+Q10</f>
        <v>0</v>
      </c>
      <c r="Z19" s="22" t="s">
        <v>216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7" ht="18" x14ac:dyDescent="0.35">
      <c r="W20" s="22"/>
      <c r="X20" s="22" t="s">
        <v>217</v>
      </c>
      <c r="Y20" s="26">
        <f>+MIN(Y$6,0+Y$5)</f>
        <v>0</v>
      </c>
      <c r="Z20" s="26">
        <f>+MIN(Z$6,Y21+Z$5)</f>
        <v>0</v>
      </c>
      <c r="AA20" s="26">
        <f t="shared" ref="AA20:AJ20" si="8">+MIN(AA$6,Z21+AA$5)</f>
        <v>0</v>
      </c>
      <c r="AB20" s="26">
        <f t="shared" si="8"/>
        <v>0</v>
      </c>
      <c r="AC20" s="26">
        <f t="shared" si="8"/>
        <v>0</v>
      </c>
      <c r="AD20" s="26">
        <f t="shared" si="8"/>
        <v>0</v>
      </c>
      <c r="AE20" s="26">
        <f t="shared" si="8"/>
        <v>0</v>
      </c>
      <c r="AF20" s="26">
        <f t="shared" si="8"/>
        <v>0</v>
      </c>
      <c r="AG20" s="26">
        <f t="shared" si="8"/>
        <v>0</v>
      </c>
      <c r="AH20" s="26">
        <f t="shared" si="8"/>
        <v>0</v>
      </c>
      <c r="AI20" s="26">
        <f t="shared" si="8"/>
        <v>0</v>
      </c>
      <c r="AJ20" s="26">
        <f t="shared" si="8"/>
        <v>0</v>
      </c>
      <c r="AK20" s="15"/>
    </row>
    <row r="21" spans="1:37" ht="18" x14ac:dyDescent="0.35">
      <c r="A21" t="s">
        <v>49</v>
      </c>
      <c r="B21" s="95" t="s">
        <v>85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X21" s="22" t="s">
        <v>218</v>
      </c>
      <c r="Y21" s="26">
        <f>+IF(B$68="ano",0,MIN(0+Y$5-Y20,$Y19))</f>
        <v>0</v>
      </c>
      <c r="Z21" s="26">
        <f t="shared" ref="Z21:AJ21" si="9">+IF(C$68="ano",0,MIN(Y21+Z$5-Z20,$Y19))</f>
        <v>0</v>
      </c>
      <c r="AA21" s="26">
        <f t="shared" si="9"/>
        <v>0</v>
      </c>
      <c r="AB21" s="26">
        <f t="shared" si="9"/>
        <v>0</v>
      </c>
      <c r="AC21" s="26">
        <f t="shared" si="9"/>
        <v>0</v>
      </c>
      <c r="AD21" s="26">
        <f t="shared" si="9"/>
        <v>0</v>
      </c>
      <c r="AE21" s="26">
        <f t="shared" si="9"/>
        <v>0</v>
      </c>
      <c r="AF21" s="26">
        <f t="shared" si="9"/>
        <v>0</v>
      </c>
      <c r="AG21" s="26">
        <f t="shared" si="9"/>
        <v>0</v>
      </c>
      <c r="AH21" s="26">
        <f t="shared" si="9"/>
        <v>0</v>
      </c>
      <c r="AI21" s="26">
        <f t="shared" si="9"/>
        <v>0</v>
      </c>
      <c r="AJ21" s="26">
        <f t="shared" si="9"/>
        <v>0</v>
      </c>
    </row>
    <row r="22" spans="1:37" ht="18.75" x14ac:dyDescent="0.35">
      <c r="A22" t="s">
        <v>44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t="s">
        <v>21</v>
      </c>
      <c r="X22" s="77" t="s">
        <v>205</v>
      </c>
      <c r="Y22" s="77"/>
      <c r="Z22" s="77"/>
      <c r="AA22" s="77" t="s">
        <v>186</v>
      </c>
      <c r="AB22" s="78" t="e">
        <f>+SUM(Y20:AJ20)/$Y19</f>
        <v>#DIV/0!</v>
      </c>
      <c r="AC22" s="77" t="s">
        <v>201</v>
      </c>
      <c r="AD22" s="77" t="s">
        <v>130</v>
      </c>
      <c r="AE22" s="77"/>
      <c r="AF22" s="77"/>
      <c r="AG22" s="77"/>
      <c r="AH22" s="77" t="s">
        <v>187</v>
      </c>
      <c r="AI22" s="78">
        <f>+SUM(Y20:AJ20)/SUM(Y$6:AJ$6)*100</f>
        <v>0</v>
      </c>
      <c r="AJ22" s="77" t="s">
        <v>121</v>
      </c>
    </row>
    <row r="23" spans="1:37" ht="18.75" x14ac:dyDescent="0.35">
      <c r="A23" t="s">
        <v>82</v>
      </c>
      <c r="B23" s="94">
        <f>INDEX(Data!$B$32:$B$56,+MATCH(B21,Data!$A$32:$A$56,0),1)</f>
        <v>0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t="s">
        <v>22</v>
      </c>
      <c r="X23" s="14" t="s">
        <v>185</v>
      </c>
      <c r="Y23" s="71">
        <f>+Q11</f>
        <v>0</v>
      </c>
      <c r="Z23" s="14" t="s">
        <v>129</v>
      </c>
    </row>
    <row r="24" spans="1:37" ht="18" x14ac:dyDescent="0.35">
      <c r="X24" t="s">
        <v>124</v>
      </c>
      <c r="Y24" s="72">
        <f>+MIN(Y$6,0+Y$5)</f>
        <v>0</v>
      </c>
      <c r="Z24" s="72">
        <f>+MIN(Z$6,Y25+Z$5)</f>
        <v>0</v>
      </c>
      <c r="AA24" s="72">
        <f t="shared" ref="AA24:AJ24" si="10">+MIN(AA$6,Z25+AA$5)</f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</row>
    <row r="25" spans="1:37" ht="18" x14ac:dyDescent="0.35">
      <c r="A25" t="s">
        <v>50</v>
      </c>
      <c r="B25" s="95" t="s">
        <v>85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X25" t="s">
        <v>125</v>
      </c>
      <c r="Y25" s="72">
        <f>+IF(B$68="ano",0,MIN(0+Y$5-Y24,$Y23))</f>
        <v>0</v>
      </c>
      <c r="Z25" s="72">
        <f t="shared" ref="Z25:AJ25" si="11">+IF(C$68="ano",0,MIN(Y25+Z$5-Z24,$Y23))</f>
        <v>0</v>
      </c>
      <c r="AA25" s="72">
        <f t="shared" si="11"/>
        <v>0</v>
      </c>
      <c r="AB25" s="72">
        <f t="shared" si="11"/>
        <v>0</v>
      </c>
      <c r="AC25" s="72">
        <f t="shared" si="11"/>
        <v>0</v>
      </c>
      <c r="AD25" s="72">
        <f t="shared" si="11"/>
        <v>0</v>
      </c>
      <c r="AE25" s="72">
        <f t="shared" si="11"/>
        <v>0</v>
      </c>
      <c r="AF25" s="72">
        <f t="shared" si="11"/>
        <v>0</v>
      </c>
      <c r="AG25" s="72">
        <f t="shared" si="11"/>
        <v>0</v>
      </c>
      <c r="AH25" s="72">
        <f t="shared" si="11"/>
        <v>0</v>
      </c>
      <c r="AI25" s="72">
        <f t="shared" si="11"/>
        <v>0</v>
      </c>
      <c r="AJ25" s="72">
        <f t="shared" si="11"/>
        <v>0</v>
      </c>
    </row>
    <row r="26" spans="1:37" ht="18.75" x14ac:dyDescent="0.35">
      <c r="A26" t="s">
        <v>45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t="s">
        <v>21</v>
      </c>
      <c r="X26" s="77" t="s">
        <v>205</v>
      </c>
      <c r="Y26" s="77"/>
      <c r="Z26" s="77"/>
      <c r="AA26" s="77" t="s">
        <v>186</v>
      </c>
      <c r="AB26" s="78" t="e">
        <f>+SUM(Y24:AJ24)/$Y23</f>
        <v>#DIV/0!</v>
      </c>
      <c r="AC26" s="77" t="s">
        <v>201</v>
      </c>
      <c r="AD26" s="77" t="s">
        <v>130</v>
      </c>
      <c r="AE26" s="77"/>
      <c r="AF26" s="77"/>
      <c r="AG26" s="77"/>
      <c r="AH26" s="77" t="s">
        <v>187</v>
      </c>
      <c r="AI26" s="78">
        <f>+SUM(Y24:AJ24)/SUM(Y$6:AJ$6)*100</f>
        <v>0</v>
      </c>
      <c r="AJ26" s="77" t="s">
        <v>121</v>
      </c>
    </row>
    <row r="27" spans="1:37" ht="18.75" x14ac:dyDescent="0.35">
      <c r="A27" t="s">
        <v>83</v>
      </c>
      <c r="B27" s="94">
        <f>INDEX(Data!$B$32:$B$56,+MATCH(B25,Data!$A$32:$A$56,0),1)</f>
        <v>0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t="s">
        <v>22</v>
      </c>
      <c r="X27" s="14" t="s">
        <v>185</v>
      </c>
      <c r="Y27" s="71">
        <f>+Q12</f>
        <v>0</v>
      </c>
      <c r="Z27" s="14" t="s">
        <v>129</v>
      </c>
    </row>
    <row r="28" spans="1:37" ht="18" x14ac:dyDescent="0.35">
      <c r="X28" t="s">
        <v>124</v>
      </c>
      <c r="Y28" s="72">
        <f>+MIN(Y$6,0+Y$5)</f>
        <v>0</v>
      </c>
      <c r="Z28" s="72">
        <f>+MIN(Z$6,Y29+Z$5)</f>
        <v>0</v>
      </c>
      <c r="AA28" s="72">
        <f t="shared" ref="AA28:AJ28" si="12">+MIN(AA$6,Z29+AA$5)</f>
        <v>0</v>
      </c>
      <c r="AB28" s="72">
        <f t="shared" si="12"/>
        <v>0</v>
      </c>
      <c r="AC28" s="72">
        <f t="shared" si="12"/>
        <v>0</v>
      </c>
      <c r="AD28" s="72">
        <f t="shared" si="12"/>
        <v>0</v>
      </c>
      <c r="AE28" s="72">
        <f t="shared" si="12"/>
        <v>0</v>
      </c>
      <c r="AF28" s="72">
        <f t="shared" si="12"/>
        <v>0</v>
      </c>
      <c r="AG28" s="72">
        <f t="shared" si="12"/>
        <v>0</v>
      </c>
      <c r="AH28" s="72">
        <f t="shared" si="12"/>
        <v>0</v>
      </c>
      <c r="AI28" s="72">
        <f t="shared" si="12"/>
        <v>0</v>
      </c>
      <c r="AJ28" s="72">
        <f t="shared" si="12"/>
        <v>0</v>
      </c>
    </row>
    <row r="29" spans="1:37" ht="18" x14ac:dyDescent="0.35">
      <c r="A29" t="s">
        <v>51</v>
      </c>
      <c r="B29" s="95" t="s">
        <v>85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X29" t="s">
        <v>125</v>
      </c>
      <c r="Y29" s="72">
        <f>+IF(B$68="ano",0,MIN(0+Y$5-Y28,$Y27))</f>
        <v>0</v>
      </c>
      <c r="Z29" s="72">
        <f t="shared" ref="Z29:AJ29" si="13">+IF(C$68="ano",0,MIN(Y29+Z$5-Z28,$Y27))</f>
        <v>0</v>
      </c>
      <c r="AA29" s="72">
        <f t="shared" si="13"/>
        <v>0</v>
      </c>
      <c r="AB29" s="72">
        <f t="shared" si="13"/>
        <v>0</v>
      </c>
      <c r="AC29" s="72">
        <f t="shared" si="13"/>
        <v>0</v>
      </c>
      <c r="AD29" s="72">
        <f t="shared" si="13"/>
        <v>0</v>
      </c>
      <c r="AE29" s="72">
        <f t="shared" si="13"/>
        <v>0</v>
      </c>
      <c r="AF29" s="72">
        <f t="shared" si="13"/>
        <v>0</v>
      </c>
      <c r="AG29" s="72">
        <f t="shared" si="13"/>
        <v>0</v>
      </c>
      <c r="AH29" s="72">
        <f t="shared" si="13"/>
        <v>0</v>
      </c>
      <c r="AI29" s="72">
        <f t="shared" si="13"/>
        <v>0</v>
      </c>
      <c r="AJ29" s="72">
        <f t="shared" si="13"/>
        <v>0</v>
      </c>
    </row>
    <row r="30" spans="1:37" ht="18.75" x14ac:dyDescent="0.35">
      <c r="A30" t="s">
        <v>46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t="s">
        <v>21</v>
      </c>
      <c r="Q30" s="79" t="s">
        <v>214</v>
      </c>
      <c r="R30" s="46">
        <v>8</v>
      </c>
      <c r="S30" s="46" t="s">
        <v>147</v>
      </c>
      <c r="X30" s="77" t="s">
        <v>205</v>
      </c>
      <c r="Y30" s="77"/>
      <c r="Z30" s="77"/>
      <c r="AA30" s="77" t="s">
        <v>186</v>
      </c>
      <c r="AB30" s="78" t="e">
        <f>+SUM(Y28:AJ28)/$Y27</f>
        <v>#DIV/0!</v>
      </c>
      <c r="AC30" s="77" t="s">
        <v>201</v>
      </c>
      <c r="AD30" s="77" t="s">
        <v>130</v>
      </c>
      <c r="AE30" s="77"/>
      <c r="AF30" s="77"/>
      <c r="AG30" s="77"/>
      <c r="AH30" s="77" t="s">
        <v>187</v>
      </c>
      <c r="AI30" s="78">
        <f>+SUM(Y28:AJ28)/SUM(Y$6:AJ$6)*100</f>
        <v>0</v>
      </c>
      <c r="AJ30" s="77" t="s">
        <v>121</v>
      </c>
    </row>
    <row r="31" spans="1:37" ht="18.75" x14ac:dyDescent="0.35">
      <c r="A31" t="s">
        <v>84</v>
      </c>
      <c r="B31" s="94">
        <f>INDEX(Data!$B$32:$B$56,+MATCH(B29,Data!$A$32:$A$56,0),1)</f>
        <v>0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t="s">
        <v>22</v>
      </c>
      <c r="Q31" s="5"/>
      <c r="R31" s="15"/>
      <c r="X31" s="14" t="s">
        <v>185</v>
      </c>
      <c r="Y31" s="71">
        <f>+Q13</f>
        <v>0</v>
      </c>
      <c r="Z31" s="14" t="s">
        <v>129</v>
      </c>
    </row>
    <row r="32" spans="1:37" ht="18" x14ac:dyDescent="0.35">
      <c r="Q32" s="29"/>
      <c r="R32" s="29"/>
      <c r="S32" s="29"/>
      <c r="X32" t="s">
        <v>124</v>
      </c>
      <c r="Y32" s="72">
        <f>+MIN(Y$6,0+Y$5)</f>
        <v>0</v>
      </c>
      <c r="Z32" s="72">
        <f>+MIN(Z$6,Y33+Z$5)</f>
        <v>0</v>
      </c>
      <c r="AA32" s="72">
        <f t="shared" ref="AA32:AJ32" si="14">+MIN(AA$6,Z33+AA$5)</f>
        <v>0</v>
      </c>
      <c r="AB32" s="72">
        <f t="shared" si="14"/>
        <v>0</v>
      </c>
      <c r="AC32" s="72">
        <f t="shared" si="14"/>
        <v>0</v>
      </c>
      <c r="AD32" s="72">
        <f t="shared" si="14"/>
        <v>0</v>
      </c>
      <c r="AE32" s="72">
        <f t="shared" si="14"/>
        <v>0</v>
      </c>
      <c r="AF32" s="72">
        <f t="shared" si="14"/>
        <v>0</v>
      </c>
      <c r="AG32" s="72">
        <f t="shared" si="14"/>
        <v>0</v>
      </c>
      <c r="AH32" s="72">
        <f t="shared" si="14"/>
        <v>0</v>
      </c>
      <c r="AI32" s="72">
        <f t="shared" si="14"/>
        <v>0</v>
      </c>
      <c r="AJ32" s="72">
        <f t="shared" si="14"/>
        <v>0</v>
      </c>
    </row>
    <row r="33" spans="1:36" ht="18" x14ac:dyDescent="0.35">
      <c r="A33" s="2" t="s">
        <v>25</v>
      </c>
      <c r="Q33" s="57" t="s">
        <v>213</v>
      </c>
      <c r="R33" s="91" t="e">
        <f>+IF(Z45=0,"příliš malé Er",Y50)</f>
        <v>#DIV/0!</v>
      </c>
      <c r="S33" s="80" t="s">
        <v>88</v>
      </c>
      <c r="X33" t="s">
        <v>125</v>
      </c>
      <c r="Y33" s="72">
        <f>+IF(B$68="ano",0,MIN(0+Y$5-Y32,$Y31))</f>
        <v>0</v>
      </c>
      <c r="Z33" s="72">
        <f t="shared" ref="Z33:AJ33" si="15">+IF(C$68="ano",0,MIN(Y33+Z$5-Z32,$Y31))</f>
        <v>0</v>
      </c>
      <c r="AA33" s="72">
        <f t="shared" si="15"/>
        <v>0</v>
      </c>
      <c r="AB33" s="72">
        <f t="shared" si="15"/>
        <v>0</v>
      </c>
      <c r="AC33" s="72">
        <f t="shared" si="15"/>
        <v>0</v>
      </c>
      <c r="AD33" s="72">
        <f t="shared" si="15"/>
        <v>0</v>
      </c>
      <c r="AE33" s="72">
        <f t="shared" si="15"/>
        <v>0</v>
      </c>
      <c r="AF33" s="72">
        <f t="shared" si="15"/>
        <v>0</v>
      </c>
      <c r="AG33" s="72">
        <f t="shared" si="15"/>
        <v>0</v>
      </c>
      <c r="AH33" s="72">
        <f t="shared" si="15"/>
        <v>0</v>
      </c>
      <c r="AI33" s="72">
        <f t="shared" si="15"/>
        <v>0</v>
      </c>
      <c r="AJ33" s="72">
        <f t="shared" si="15"/>
        <v>0</v>
      </c>
    </row>
    <row r="34" spans="1:36" ht="18.75" x14ac:dyDescent="0.35">
      <c r="A34" t="s">
        <v>24</v>
      </c>
      <c r="B34" s="95">
        <v>0.9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t="s">
        <v>22</v>
      </c>
      <c r="Q34" s="60" t="s">
        <v>148</v>
      </c>
      <c r="R34" s="24" t="e">
        <f>+IF(Z45=0,"---",AB53)</f>
        <v>#DIV/0!</v>
      </c>
      <c r="S34" s="55" t="s">
        <v>200</v>
      </c>
      <c r="X34" s="77" t="s">
        <v>205</v>
      </c>
      <c r="Y34" s="77"/>
      <c r="Z34" s="77"/>
      <c r="AA34" s="77" t="s">
        <v>186</v>
      </c>
      <c r="AB34" s="78" t="e">
        <f>+SUM(Y32:AJ32)/$Y31</f>
        <v>#DIV/0!</v>
      </c>
      <c r="AC34" s="77" t="s">
        <v>201</v>
      </c>
      <c r="AD34" s="77" t="s">
        <v>130</v>
      </c>
      <c r="AE34" s="77"/>
      <c r="AF34" s="77"/>
      <c r="AG34" s="77"/>
      <c r="AH34" s="77" t="s">
        <v>187</v>
      </c>
      <c r="AI34" s="78">
        <f>+SUM(Y32:AJ32)/SUM(Y$6:AJ$6)*100</f>
        <v>0</v>
      </c>
      <c r="AJ34" s="77" t="s">
        <v>121</v>
      </c>
    </row>
    <row r="35" spans="1:36" ht="18.75" x14ac:dyDescent="0.3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Q35" s="67" t="s">
        <v>137</v>
      </c>
      <c r="R35" s="53" t="e">
        <f>+IF(Z45=0,"---",AI53)</f>
        <v>#DIV/0!</v>
      </c>
      <c r="S35" s="81" t="s">
        <v>121</v>
      </c>
      <c r="X35" s="14" t="s">
        <v>185</v>
      </c>
      <c r="Y35" s="71">
        <f>+Q14</f>
        <v>0</v>
      </c>
      <c r="Z35" s="14" t="s">
        <v>129</v>
      </c>
    </row>
    <row r="36" spans="1:36" ht="18" x14ac:dyDescent="0.35">
      <c r="A36" s="2" t="s">
        <v>112</v>
      </c>
      <c r="D36" s="5"/>
      <c r="E36" s="5"/>
      <c r="F36" s="5"/>
      <c r="G36" s="5"/>
      <c r="H36" s="5"/>
      <c r="I36" s="5"/>
      <c r="J36" s="5"/>
      <c r="K36" s="5"/>
      <c r="L36" s="5"/>
      <c r="M36" s="5"/>
      <c r="X36" t="s">
        <v>124</v>
      </c>
      <c r="Y36" s="72">
        <f>+MIN(Y$6,0+Y$5)</f>
        <v>0</v>
      </c>
      <c r="Z36" s="72">
        <f>+MIN(Z$6,Y37+Z$5)</f>
        <v>0</v>
      </c>
      <c r="AA36" s="72">
        <f t="shared" ref="AA36:AJ36" si="16">+MIN(AA$6,Z37+AA$5)</f>
        <v>0</v>
      </c>
      <c r="AB36" s="72">
        <f t="shared" si="16"/>
        <v>0</v>
      </c>
      <c r="AC36" s="72">
        <f t="shared" si="16"/>
        <v>0</v>
      </c>
      <c r="AD36" s="72">
        <f t="shared" si="16"/>
        <v>0</v>
      </c>
      <c r="AE36" s="72">
        <f t="shared" si="16"/>
        <v>0</v>
      </c>
      <c r="AF36" s="72">
        <f t="shared" si="16"/>
        <v>0</v>
      </c>
      <c r="AG36" s="72">
        <f t="shared" si="16"/>
        <v>0</v>
      </c>
      <c r="AH36" s="72">
        <f t="shared" si="16"/>
        <v>0</v>
      </c>
      <c r="AI36" s="72">
        <f t="shared" si="16"/>
        <v>0</v>
      </c>
      <c r="AJ36" s="72">
        <f t="shared" si="16"/>
        <v>0</v>
      </c>
    </row>
    <row r="37" spans="1:36" ht="18" x14ac:dyDescent="0.35">
      <c r="A37" t="s">
        <v>107</v>
      </c>
      <c r="B37" s="5" t="s">
        <v>89</v>
      </c>
      <c r="C37" s="5" t="s">
        <v>90</v>
      </c>
      <c r="D37" s="5" t="s">
        <v>91</v>
      </c>
      <c r="E37" s="5" t="s">
        <v>92</v>
      </c>
      <c r="F37" s="5" t="s">
        <v>93</v>
      </c>
      <c r="G37" s="5" t="s">
        <v>94</v>
      </c>
      <c r="H37" s="5" t="s">
        <v>95</v>
      </c>
      <c r="I37" s="5" t="s">
        <v>96</v>
      </c>
      <c r="J37" s="5" t="s">
        <v>97</v>
      </c>
      <c r="K37" s="5" t="s">
        <v>98</v>
      </c>
      <c r="L37" s="5" t="s">
        <v>99</v>
      </c>
      <c r="M37" s="5" t="s">
        <v>100</v>
      </c>
      <c r="X37" t="s">
        <v>125</v>
      </c>
      <c r="Y37" s="72">
        <f>+IF(B$68="ano",0,MIN(0+Y$5-Y36,$Y35))</f>
        <v>0</v>
      </c>
      <c r="Z37" s="72">
        <f t="shared" ref="Z37:AJ37" si="17">+IF(C$68="ano",0,MIN(Y37+Z$5-Z36,$Y35))</f>
        <v>0</v>
      </c>
      <c r="AA37" s="72">
        <f t="shared" si="17"/>
        <v>0</v>
      </c>
      <c r="AB37" s="72">
        <f t="shared" si="17"/>
        <v>0</v>
      </c>
      <c r="AC37" s="72">
        <f t="shared" si="17"/>
        <v>0</v>
      </c>
      <c r="AD37" s="72">
        <f t="shared" si="17"/>
        <v>0</v>
      </c>
      <c r="AE37" s="72">
        <f t="shared" si="17"/>
        <v>0</v>
      </c>
      <c r="AF37" s="72">
        <f t="shared" si="17"/>
        <v>0</v>
      </c>
      <c r="AG37" s="72">
        <f t="shared" si="17"/>
        <v>0</v>
      </c>
      <c r="AH37" s="72">
        <f t="shared" si="17"/>
        <v>0</v>
      </c>
      <c r="AI37" s="72">
        <f t="shared" si="17"/>
        <v>0</v>
      </c>
      <c r="AJ37" s="72">
        <f t="shared" si="17"/>
        <v>0</v>
      </c>
    </row>
    <row r="38" spans="1:36" ht="18.75" x14ac:dyDescent="0.35">
      <c r="A38" t="s">
        <v>111</v>
      </c>
      <c r="B38" s="15">
        <f>+IF(B68="ANO",0,B9*($B$14*$B$15+$B$18*$B$19+$B$22*$B$23+$B$26*$B$27+$B$30*$B$31)*$B$34/1000)</f>
        <v>0</v>
      </c>
      <c r="C38" s="15">
        <f t="shared" ref="C38:M38" si="18">+IF(C68="ANO",0,C9*($B$14*$B$15+$B$18*$B$19+$B$22*$B$23+$B$26*$B$27+$B$30*$B$31)*$B$34/1000)</f>
        <v>0</v>
      </c>
      <c r="D38" s="15">
        <f t="shared" si="18"/>
        <v>0</v>
      </c>
      <c r="E38" s="15">
        <f t="shared" si="18"/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t="s">
        <v>108</v>
      </c>
      <c r="X38" s="77" t="s">
        <v>205</v>
      </c>
      <c r="Y38" s="77"/>
      <c r="Z38" s="77"/>
      <c r="AA38" s="77" t="s">
        <v>186</v>
      </c>
      <c r="AB38" s="78" t="e">
        <f>+SUM(Y36:AJ36)/$Y35</f>
        <v>#DIV/0!</v>
      </c>
      <c r="AC38" s="77" t="s">
        <v>201</v>
      </c>
      <c r="AD38" s="77" t="s">
        <v>130</v>
      </c>
      <c r="AE38" s="77"/>
      <c r="AF38" s="77"/>
      <c r="AG38" s="77"/>
      <c r="AH38" s="77" t="s">
        <v>187</v>
      </c>
      <c r="AI38" s="78">
        <f>+SUM(Y36:AJ36)/SUM(Y$6:AJ$6)*100</f>
        <v>0</v>
      </c>
      <c r="AJ38" s="77" t="s">
        <v>121</v>
      </c>
    </row>
    <row r="39" spans="1:36" ht="18.7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X39" s="14" t="s">
        <v>185</v>
      </c>
      <c r="Y39" s="71">
        <f>+Q15</f>
        <v>0</v>
      </c>
      <c r="Z39" s="14" t="s">
        <v>129</v>
      </c>
    </row>
    <row r="40" spans="1:36" ht="18" x14ac:dyDescent="0.35">
      <c r="A40" s="3" t="s">
        <v>110</v>
      </c>
      <c r="X40" t="s">
        <v>124</v>
      </c>
      <c r="Y40" s="72">
        <f>+MIN(Y$6,0+Y$5)</f>
        <v>0</v>
      </c>
      <c r="Z40" s="72">
        <f>+MIN(Z$6,Y41+Z$5)</f>
        <v>0</v>
      </c>
      <c r="AA40" s="72">
        <f t="shared" ref="AA40:AJ40" si="19">+MIN(AA$6,Z41+AA$5)</f>
        <v>0</v>
      </c>
      <c r="AB40" s="72">
        <f t="shared" si="19"/>
        <v>0</v>
      </c>
      <c r="AC40" s="72">
        <f t="shared" si="19"/>
        <v>0</v>
      </c>
      <c r="AD40" s="72">
        <f t="shared" si="19"/>
        <v>0</v>
      </c>
      <c r="AE40" s="72">
        <f t="shared" si="19"/>
        <v>0</v>
      </c>
      <c r="AF40" s="72">
        <f t="shared" si="19"/>
        <v>0</v>
      </c>
      <c r="AG40" s="72">
        <f t="shared" si="19"/>
        <v>0</v>
      </c>
      <c r="AH40" s="72">
        <f t="shared" si="19"/>
        <v>0</v>
      </c>
      <c r="AI40" s="72">
        <f t="shared" si="19"/>
        <v>0</v>
      </c>
      <c r="AJ40" s="72">
        <f t="shared" si="19"/>
        <v>0</v>
      </c>
    </row>
    <row r="41" spans="1:36" ht="18" x14ac:dyDescent="0.35">
      <c r="A41" s="16" t="s">
        <v>177</v>
      </c>
      <c r="X41" t="s">
        <v>125</v>
      </c>
      <c r="Y41" s="72">
        <f>+IF(B$68="ano",0,MIN(0+Y$5-Y40,$Y39))</f>
        <v>0</v>
      </c>
      <c r="Z41" s="72">
        <f t="shared" ref="Z41:AJ41" si="20">+IF(C$68="ano",0,MIN(Y41+Z$5-Z40,$Y39))</f>
        <v>0</v>
      </c>
      <c r="AA41" s="72">
        <f t="shared" si="20"/>
        <v>0</v>
      </c>
      <c r="AB41" s="72">
        <f t="shared" si="20"/>
        <v>0</v>
      </c>
      <c r="AC41" s="72">
        <f t="shared" si="20"/>
        <v>0</v>
      </c>
      <c r="AD41" s="72">
        <f t="shared" si="20"/>
        <v>0</v>
      </c>
      <c r="AE41" s="72">
        <f t="shared" si="20"/>
        <v>0</v>
      </c>
      <c r="AF41" s="72">
        <f t="shared" si="20"/>
        <v>0</v>
      </c>
      <c r="AG41" s="72">
        <f t="shared" si="20"/>
        <v>0</v>
      </c>
      <c r="AH41" s="72">
        <f t="shared" si="20"/>
        <v>0</v>
      </c>
      <c r="AI41" s="72">
        <f t="shared" si="20"/>
        <v>0</v>
      </c>
      <c r="AJ41" s="72">
        <f t="shared" si="20"/>
        <v>0</v>
      </c>
    </row>
    <row r="42" spans="1:36" ht="18.75" x14ac:dyDescent="0.35">
      <c r="Q42" s="15"/>
      <c r="X42" s="77" t="s">
        <v>205</v>
      </c>
      <c r="Y42" s="77"/>
      <c r="Z42" s="77"/>
      <c r="AA42" s="77" t="s">
        <v>186</v>
      </c>
      <c r="AB42" s="78" t="e">
        <f>+SUM(Y40:AJ40)/$Y39</f>
        <v>#DIV/0!</v>
      </c>
      <c r="AC42" s="77" t="s">
        <v>201</v>
      </c>
      <c r="AD42" s="77" t="s">
        <v>130</v>
      </c>
      <c r="AE42" s="77"/>
      <c r="AF42" s="77"/>
      <c r="AG42" s="77"/>
      <c r="AH42" s="77" t="s">
        <v>187</v>
      </c>
      <c r="AI42" s="78">
        <f>+SUM(Y40:AJ40)/SUM(Y$6:AJ$6)*100</f>
        <v>0</v>
      </c>
      <c r="AJ42" s="77" t="s">
        <v>121</v>
      </c>
    </row>
    <row r="43" spans="1:36" x14ac:dyDescent="0.25">
      <c r="A43" s="2" t="s">
        <v>32</v>
      </c>
      <c r="Q43" s="15"/>
      <c r="X43" s="90" t="s">
        <v>188</v>
      </c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1:36" ht="18.75" x14ac:dyDescent="0.35">
      <c r="A44" t="s">
        <v>107</v>
      </c>
      <c r="B44" s="5" t="s">
        <v>89</v>
      </c>
      <c r="C44" s="5" t="s">
        <v>90</v>
      </c>
      <c r="D44" s="5" t="s">
        <v>91</v>
      </c>
      <c r="E44" s="5" t="s">
        <v>92</v>
      </c>
      <c r="F44" s="5" t="s">
        <v>93</v>
      </c>
      <c r="G44" s="5" t="s">
        <v>94</v>
      </c>
      <c r="H44" s="5" t="s">
        <v>95</v>
      </c>
      <c r="I44" s="5" t="s">
        <v>96</v>
      </c>
      <c r="J44" s="5" t="s">
        <v>97</v>
      </c>
      <c r="K44" s="5" t="s">
        <v>98</v>
      </c>
      <c r="L44" s="5" t="s">
        <v>99</v>
      </c>
      <c r="M44" s="5" t="s">
        <v>100</v>
      </c>
      <c r="Q44" s="15"/>
      <c r="X44" s="82"/>
      <c r="Y44" s="83" t="s">
        <v>192</v>
      </c>
      <c r="Z44" s="83">
        <f>+R30</f>
        <v>8</v>
      </c>
      <c r="AA44" s="82" t="s">
        <v>193</v>
      </c>
      <c r="AB44" s="15"/>
    </row>
    <row r="45" spans="1:36" ht="18.75" x14ac:dyDescent="0.35">
      <c r="A45" t="s">
        <v>29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t="s">
        <v>115</v>
      </c>
      <c r="Q45" s="15"/>
      <c r="X45" s="82"/>
      <c r="Y45" s="83" t="s">
        <v>194</v>
      </c>
      <c r="Z45" s="83" t="e">
        <f>+IF(R7&lt;Z44,0,IF(R15&gt;8,2,1))</f>
        <v>#DIV/0!</v>
      </c>
      <c r="AA45" s="82" t="s">
        <v>199</v>
      </c>
      <c r="AB45" s="15"/>
    </row>
    <row r="46" spans="1:36" ht="18" x14ac:dyDescent="0.35">
      <c r="Q46" s="15"/>
      <c r="X46" s="82"/>
      <c r="Y46" s="83" t="s">
        <v>195</v>
      </c>
      <c r="Z46" s="82" t="e">
        <f>IF(Z45&lt;&gt;1,"---",+MATCH(Z44,R7:R15,-1))</f>
        <v>#DIV/0!</v>
      </c>
      <c r="AA46" s="82" t="e">
        <f>IF(Z45&lt;&gt;1,"---",+Z46+1)</f>
        <v>#DIV/0!</v>
      </c>
      <c r="AB46" s="15"/>
    </row>
    <row r="47" spans="1:36" ht="18.75" x14ac:dyDescent="0.35">
      <c r="A47" s="2" t="s">
        <v>30</v>
      </c>
      <c r="Q47" s="15"/>
      <c r="X47" s="83"/>
      <c r="Y47" s="83" t="s">
        <v>196</v>
      </c>
      <c r="Z47" s="84" t="e">
        <f>IF(Z45&lt;&gt;1,"---",+INDEX(Q7:Q15,Z46,1))</f>
        <v>#DIV/0!</v>
      </c>
      <c r="AA47" s="84" t="e">
        <f>IF(Z45&lt;&gt;1,"---",+INDEX(Q7:Q15,AA46,1))</f>
        <v>#DIV/0!</v>
      </c>
      <c r="AB47" s="15" t="s">
        <v>129</v>
      </c>
    </row>
    <row r="48" spans="1:36" ht="18.75" x14ac:dyDescent="0.35">
      <c r="A48" t="s">
        <v>107</v>
      </c>
      <c r="B48" s="5" t="s">
        <v>89</v>
      </c>
      <c r="C48" s="5" t="s">
        <v>90</v>
      </c>
      <c r="D48" s="5" t="s">
        <v>91</v>
      </c>
      <c r="E48" s="5" t="s">
        <v>92</v>
      </c>
      <c r="F48" s="5" t="s">
        <v>93</v>
      </c>
      <c r="G48" s="5" t="s">
        <v>94</v>
      </c>
      <c r="H48" s="5" t="s">
        <v>95</v>
      </c>
      <c r="I48" s="5" t="s">
        <v>96</v>
      </c>
      <c r="J48" s="5" t="s">
        <v>97</v>
      </c>
      <c r="K48" s="5" t="s">
        <v>98</v>
      </c>
      <c r="L48" s="5" t="s">
        <v>99</v>
      </c>
      <c r="M48" s="5" t="s">
        <v>100</v>
      </c>
      <c r="Q48" s="15"/>
      <c r="X48" s="83"/>
      <c r="Y48" s="85" t="s">
        <v>197</v>
      </c>
      <c r="Z48" s="72" t="e">
        <f>IF(Z45&lt;&gt;1,"---",+INDEX(R7:R15,Z46,1))</f>
        <v>#DIV/0!</v>
      </c>
      <c r="AA48" s="72" t="e">
        <f>IF(Z45&lt;&gt;1,"---",+INDEX(R7:R15,AA46,1))</f>
        <v>#DIV/0!</v>
      </c>
      <c r="AB48" s="14" t="s">
        <v>201</v>
      </c>
    </row>
    <row r="49" spans="1:36" ht="18.75" x14ac:dyDescent="0.35">
      <c r="A49" t="s">
        <v>23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t="s">
        <v>31</v>
      </c>
      <c r="Q49" s="15"/>
      <c r="X49" s="86"/>
      <c r="Y49" s="87" t="s">
        <v>198</v>
      </c>
      <c r="Z49" s="29"/>
      <c r="AA49" s="88" t="e">
        <f>+IF(Z45=0,Q7,IF(Z45=2,Q15,Z47+(AA47-Z47)/(Z48-AA48)*(Z48-Z44)))</f>
        <v>#DIV/0!</v>
      </c>
      <c r="AB49" s="89" t="s">
        <v>191</v>
      </c>
      <c r="AC49" s="29"/>
      <c r="AD49" s="29"/>
      <c r="AE49" s="29"/>
      <c r="AF49" s="29"/>
      <c r="AG49" s="29"/>
      <c r="AH49" s="29"/>
      <c r="AI49" s="29"/>
      <c r="AJ49" s="29"/>
    </row>
    <row r="50" spans="1:36" ht="18.75" x14ac:dyDescent="0.35">
      <c r="Q50" s="15"/>
      <c r="X50" s="14" t="s">
        <v>185</v>
      </c>
      <c r="Y50" s="71" t="e">
        <f>+IF(Z45=0,Q7,IF(Z45=2,Q15,AA49))</f>
        <v>#DIV/0!</v>
      </c>
      <c r="Z50" s="14" t="s">
        <v>129</v>
      </c>
    </row>
    <row r="51" spans="1:36" ht="18" x14ac:dyDescent="0.35">
      <c r="A51" s="2" t="s">
        <v>33</v>
      </c>
      <c r="Q51" s="15"/>
      <c r="X51" t="s">
        <v>124</v>
      </c>
      <c r="Y51" s="72">
        <f>+MIN(Y$6,0+Y$5)</f>
        <v>0</v>
      </c>
      <c r="Z51" s="72">
        <f t="shared" ref="Z51:AJ51" si="21">+MIN(Z$6,Y52+Z$5)</f>
        <v>0</v>
      </c>
      <c r="AA51" s="72">
        <f t="shared" si="21"/>
        <v>0</v>
      </c>
      <c r="AB51" s="72" t="e">
        <f t="shared" si="21"/>
        <v>#DIV/0!</v>
      </c>
      <c r="AC51" s="72" t="e">
        <f t="shared" si="21"/>
        <v>#DIV/0!</v>
      </c>
      <c r="AD51" s="72" t="e">
        <f t="shared" si="21"/>
        <v>#DIV/0!</v>
      </c>
      <c r="AE51" s="72" t="e">
        <f t="shared" si="21"/>
        <v>#DIV/0!</v>
      </c>
      <c r="AF51" s="72" t="e">
        <f t="shared" si="21"/>
        <v>#DIV/0!</v>
      </c>
      <c r="AG51" s="72" t="e">
        <f t="shared" si="21"/>
        <v>#DIV/0!</v>
      </c>
      <c r="AH51" s="72" t="e">
        <f t="shared" si="21"/>
        <v>#DIV/0!</v>
      </c>
      <c r="AI51" s="72">
        <f t="shared" si="21"/>
        <v>0</v>
      </c>
      <c r="AJ51" s="72">
        <f t="shared" si="21"/>
        <v>0</v>
      </c>
    </row>
    <row r="52" spans="1:36" ht="18" x14ac:dyDescent="0.35">
      <c r="A52" t="s">
        <v>107</v>
      </c>
      <c r="B52" s="5" t="s">
        <v>89</v>
      </c>
      <c r="C52" s="5" t="s">
        <v>90</v>
      </c>
      <c r="D52" s="5" t="s">
        <v>91</v>
      </c>
      <c r="E52" s="5" t="s">
        <v>92</v>
      </c>
      <c r="F52" s="5" t="s">
        <v>93</v>
      </c>
      <c r="G52" s="5" t="s">
        <v>94</v>
      </c>
      <c r="H52" s="5" t="s">
        <v>95</v>
      </c>
      <c r="I52" s="5" t="s">
        <v>96</v>
      </c>
      <c r="J52" s="5" t="s">
        <v>97</v>
      </c>
      <c r="K52" s="5" t="s">
        <v>98</v>
      </c>
      <c r="L52" s="5" t="s">
        <v>99</v>
      </c>
      <c r="M52" s="5" t="s">
        <v>100</v>
      </c>
      <c r="Q52" s="15"/>
      <c r="X52" t="s">
        <v>125</v>
      </c>
      <c r="Y52" s="72">
        <f>+IF(B$68="ano",0,MIN(0+Y$5-Y51,$Y50))</f>
        <v>0</v>
      </c>
      <c r="Z52" s="72">
        <f t="shared" ref="Z52:AJ52" si="22">+IF(C$68="ano",0,MIN(Y52+Z$5-Z51,$Y50))</f>
        <v>0</v>
      </c>
      <c r="AA52" s="72" t="e">
        <f t="shared" si="22"/>
        <v>#DIV/0!</v>
      </c>
      <c r="AB52" s="72" t="e">
        <f t="shared" si="22"/>
        <v>#DIV/0!</v>
      </c>
      <c r="AC52" s="72" t="e">
        <f t="shared" si="22"/>
        <v>#DIV/0!</v>
      </c>
      <c r="AD52" s="72" t="e">
        <f t="shared" si="22"/>
        <v>#DIV/0!</v>
      </c>
      <c r="AE52" s="72" t="e">
        <f t="shared" si="22"/>
        <v>#DIV/0!</v>
      </c>
      <c r="AF52" s="72" t="e">
        <f t="shared" si="22"/>
        <v>#DIV/0!</v>
      </c>
      <c r="AG52" s="72" t="e">
        <f t="shared" si="22"/>
        <v>#DIV/0!</v>
      </c>
      <c r="AH52" s="72">
        <f t="shared" si="22"/>
        <v>0</v>
      </c>
      <c r="AI52" s="72">
        <f t="shared" si="22"/>
        <v>0</v>
      </c>
      <c r="AJ52" s="72">
        <f t="shared" si="22"/>
        <v>0</v>
      </c>
    </row>
    <row r="53" spans="1:36" ht="18.75" x14ac:dyDescent="0.35">
      <c r="A53" t="s">
        <v>34</v>
      </c>
      <c r="B53" s="40">
        <v>0</v>
      </c>
      <c r="C53" s="40">
        <v>0</v>
      </c>
      <c r="D53" s="40">
        <v>0</v>
      </c>
      <c r="E53" s="40">
        <v>0.8</v>
      </c>
      <c r="F53" s="40">
        <v>0.6</v>
      </c>
      <c r="G53" s="40">
        <v>1</v>
      </c>
      <c r="H53" s="40">
        <v>0.8</v>
      </c>
      <c r="I53" s="40">
        <v>0.8</v>
      </c>
      <c r="J53" s="40">
        <v>0.3</v>
      </c>
      <c r="K53" s="40">
        <v>0</v>
      </c>
      <c r="L53" s="40">
        <v>0</v>
      </c>
      <c r="M53" s="40">
        <v>0</v>
      </c>
      <c r="N53" t="s">
        <v>122</v>
      </c>
      <c r="P53" s="39"/>
      <c r="Q53" s="11"/>
      <c r="X53" s="77" t="s">
        <v>205</v>
      </c>
      <c r="Y53" s="77"/>
      <c r="Z53" s="77"/>
      <c r="AA53" s="77" t="s">
        <v>186</v>
      </c>
      <c r="AB53" s="78" t="e">
        <f>+SUM(Y51:AJ51)/$Y50</f>
        <v>#DIV/0!</v>
      </c>
      <c r="AC53" s="77" t="s">
        <v>201</v>
      </c>
      <c r="AD53" s="77" t="s">
        <v>130</v>
      </c>
      <c r="AE53" s="77"/>
      <c r="AF53" s="77"/>
      <c r="AG53" s="77"/>
      <c r="AH53" s="77" t="s">
        <v>187</v>
      </c>
      <c r="AI53" s="78" t="e">
        <f>+SUM(Y51:AJ51)/SUM(Y$6:AJ$6)*100</f>
        <v>#DIV/0!</v>
      </c>
      <c r="AJ53" s="77" t="s">
        <v>121</v>
      </c>
    </row>
    <row r="54" spans="1:36" x14ac:dyDescent="0.25">
      <c r="Q54" s="15"/>
    </row>
    <row r="55" spans="1:36" x14ac:dyDescent="0.25">
      <c r="A55" s="2" t="s">
        <v>35</v>
      </c>
      <c r="Q55" s="15"/>
    </row>
    <row r="56" spans="1:36" x14ac:dyDescent="0.25">
      <c r="A56" t="s">
        <v>107</v>
      </c>
      <c r="B56" s="5" t="s">
        <v>89</v>
      </c>
      <c r="C56" s="5" t="s">
        <v>90</v>
      </c>
      <c r="D56" s="5" t="s">
        <v>91</v>
      </c>
      <c r="E56" s="5" t="s">
        <v>92</v>
      </c>
      <c r="F56" s="5" t="s">
        <v>93</v>
      </c>
      <c r="G56" s="5" t="s">
        <v>94</v>
      </c>
      <c r="H56" s="5" t="s">
        <v>95</v>
      </c>
      <c r="I56" s="5" t="s">
        <v>96</v>
      </c>
      <c r="J56" s="5" t="s">
        <v>97</v>
      </c>
      <c r="K56" s="5" t="s">
        <v>98</v>
      </c>
      <c r="L56" s="5" t="s">
        <v>99</v>
      </c>
      <c r="M56" s="5" t="s">
        <v>100</v>
      </c>
      <c r="Q56" s="15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</row>
    <row r="57" spans="1:36" x14ac:dyDescent="0.25">
      <c r="A57" t="s">
        <v>23</v>
      </c>
      <c r="B57" s="6">
        <v>0</v>
      </c>
      <c r="C57" s="6">
        <v>0</v>
      </c>
      <c r="D57" s="6">
        <v>0</v>
      </c>
      <c r="E57" s="6">
        <v>3000</v>
      </c>
      <c r="F57" s="6">
        <v>3000</v>
      </c>
      <c r="G57" s="6">
        <v>3000</v>
      </c>
      <c r="H57" s="6">
        <v>3000</v>
      </c>
      <c r="I57" s="6">
        <v>3000</v>
      </c>
      <c r="J57" s="6">
        <v>3000</v>
      </c>
      <c r="K57" s="6">
        <v>0</v>
      </c>
      <c r="L57" s="6">
        <v>0</v>
      </c>
      <c r="M57" s="6">
        <v>0</v>
      </c>
      <c r="N57" t="s">
        <v>36</v>
      </c>
      <c r="Q57" s="15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1:36" x14ac:dyDescent="0.25">
      <c r="B58" s="15"/>
      <c r="C58" s="11"/>
      <c r="Q58" s="15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</row>
    <row r="59" spans="1:36" x14ac:dyDescent="0.25">
      <c r="A59" s="2" t="s">
        <v>113</v>
      </c>
      <c r="Q59" s="15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</row>
    <row r="60" spans="1:36" x14ac:dyDescent="0.25">
      <c r="A60" t="s">
        <v>107</v>
      </c>
      <c r="B60" s="5" t="s">
        <v>89</v>
      </c>
      <c r="C60" s="5" t="s">
        <v>90</v>
      </c>
      <c r="D60" s="5" t="s">
        <v>91</v>
      </c>
      <c r="E60" s="5" t="s">
        <v>92</v>
      </c>
      <c r="F60" s="5" t="s">
        <v>93</v>
      </c>
      <c r="G60" s="5" t="s">
        <v>94</v>
      </c>
      <c r="H60" s="5" t="s">
        <v>95</v>
      </c>
      <c r="I60" s="5" t="s">
        <v>96</v>
      </c>
      <c r="J60" s="5" t="s">
        <v>97</v>
      </c>
      <c r="K60" s="5" t="s">
        <v>98</v>
      </c>
      <c r="L60" s="5" t="s">
        <v>99</v>
      </c>
      <c r="M60" s="5" t="s">
        <v>100</v>
      </c>
      <c r="Q60" s="15"/>
      <c r="X60" s="2"/>
      <c r="AB60" s="15"/>
      <c r="AE60" s="2"/>
      <c r="AI60" s="15"/>
    </row>
    <row r="61" spans="1:36" ht="18.75" x14ac:dyDescent="0.35">
      <c r="A61" t="s">
        <v>114</v>
      </c>
      <c r="B61" s="11">
        <f>+(B45*B49+B53*B57)*31/1000</f>
        <v>0</v>
      </c>
      <c r="C61" s="11">
        <f>+(C45*C49+C53*C57)*28/1000</f>
        <v>0</v>
      </c>
      <c r="D61" s="11">
        <f>+(D45*D49+D53*D57)*31/1000</f>
        <v>0</v>
      </c>
      <c r="E61" s="11">
        <f>+(E45*E49+E53*E57)*30/1000</f>
        <v>72</v>
      </c>
      <c r="F61" s="11">
        <f>+(F45*F49+F53*F57)*31/1000</f>
        <v>55.8</v>
      </c>
      <c r="G61" s="11">
        <f>+(G45*G49+G53*G57)*30/1000</f>
        <v>90</v>
      </c>
      <c r="H61" s="11">
        <f>+(H45*H49+H53*H57)*31/1000</f>
        <v>74.400000000000006</v>
      </c>
      <c r="I61" s="11">
        <f>+(I45*I49+I53*I57)*31/1000</f>
        <v>74.400000000000006</v>
      </c>
      <c r="J61" s="11">
        <f>+(J45*J49+J53*J57)*30/1000</f>
        <v>27</v>
      </c>
      <c r="K61" s="11">
        <f>+(K45*K49+K53*K57)*31/1000</f>
        <v>0</v>
      </c>
      <c r="L61" s="11">
        <f>+(L45*L49+L53*L57)*30/1000</f>
        <v>0</v>
      </c>
      <c r="M61" s="11">
        <f>+(M45*M49+M53*M57)*31/1000</f>
        <v>0</v>
      </c>
      <c r="N61" t="s">
        <v>108</v>
      </c>
      <c r="Q61" s="15"/>
    </row>
    <row r="62" spans="1:36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Q62" s="15"/>
    </row>
    <row r="63" spans="1:36" x14ac:dyDescent="0.25">
      <c r="A63" s="8" t="s">
        <v>131</v>
      </c>
      <c r="Q63" s="15"/>
    </row>
    <row r="64" spans="1:36" x14ac:dyDescent="0.25">
      <c r="A64" s="16" t="s">
        <v>133</v>
      </c>
      <c r="Q64" s="15"/>
    </row>
    <row r="65" spans="1:17" x14ac:dyDescent="0.25">
      <c r="Q65" s="15"/>
    </row>
    <row r="66" spans="1:17" x14ac:dyDescent="0.25">
      <c r="A66" s="2" t="s">
        <v>132</v>
      </c>
      <c r="Q66" s="15"/>
    </row>
    <row r="67" spans="1:17" x14ac:dyDescent="0.25">
      <c r="A67" t="s">
        <v>107</v>
      </c>
      <c r="B67" s="5" t="s">
        <v>89</v>
      </c>
      <c r="C67" s="5" t="s">
        <v>90</v>
      </c>
      <c r="D67" s="5" t="s">
        <v>91</v>
      </c>
      <c r="E67" s="5" t="s">
        <v>92</v>
      </c>
      <c r="F67" s="5" t="s">
        <v>93</v>
      </c>
      <c r="G67" s="5" t="s">
        <v>94</v>
      </c>
      <c r="H67" s="5" t="s">
        <v>95</v>
      </c>
      <c r="I67" s="5" t="s">
        <v>96</v>
      </c>
      <c r="J67" s="5" t="s">
        <v>97</v>
      </c>
      <c r="K67" s="5" t="s">
        <v>98</v>
      </c>
      <c r="L67" s="5" t="s">
        <v>99</v>
      </c>
      <c r="M67" s="5" t="s">
        <v>100</v>
      </c>
    </row>
    <row r="68" spans="1:17" x14ac:dyDescent="0.25">
      <c r="A68" t="s">
        <v>135</v>
      </c>
      <c r="B68" s="28" t="s">
        <v>150</v>
      </c>
      <c r="C68" s="28" t="s">
        <v>150</v>
      </c>
      <c r="D68" s="28" t="s">
        <v>136</v>
      </c>
      <c r="E68" s="28" t="s">
        <v>136</v>
      </c>
      <c r="F68" s="28" t="s">
        <v>136</v>
      </c>
      <c r="G68" s="28" t="s">
        <v>136</v>
      </c>
      <c r="H68" s="28" t="s">
        <v>136</v>
      </c>
      <c r="I68" s="28" t="s">
        <v>136</v>
      </c>
      <c r="J68" s="28" t="s">
        <v>136</v>
      </c>
      <c r="K68" s="28" t="s">
        <v>150</v>
      </c>
      <c r="L68" s="28" t="s">
        <v>150</v>
      </c>
      <c r="M68" s="28" t="s">
        <v>150</v>
      </c>
    </row>
    <row r="70" spans="1:17" x14ac:dyDescent="0.25">
      <c r="A70" s="3" t="s">
        <v>184</v>
      </c>
    </row>
    <row r="71" spans="1:17" ht="17.25" x14ac:dyDescent="0.25">
      <c r="A71" s="16" t="s">
        <v>118</v>
      </c>
      <c r="E71" s="16"/>
      <c r="F71" s="17"/>
      <c r="G71" s="16">
        <v>25</v>
      </c>
      <c r="H71" s="16" t="s">
        <v>116</v>
      </c>
      <c r="J71" s="41"/>
    </row>
    <row r="72" spans="1:17" ht="17.25" x14ac:dyDescent="0.25">
      <c r="A72" s="19" t="s">
        <v>119</v>
      </c>
      <c r="B72" s="18"/>
      <c r="E72" s="17"/>
      <c r="F72" s="17"/>
      <c r="G72" s="17">
        <v>15</v>
      </c>
      <c r="H72" s="16" t="s">
        <v>116</v>
      </c>
    </row>
    <row r="73" spans="1:17" ht="17.25" x14ac:dyDescent="0.25">
      <c r="A73" s="19" t="s">
        <v>117</v>
      </c>
      <c r="B73" s="18"/>
      <c r="E73" s="17"/>
      <c r="F73" s="17"/>
      <c r="G73" s="17">
        <v>2</v>
      </c>
      <c r="H73" s="16" t="s">
        <v>116</v>
      </c>
    </row>
    <row r="74" spans="1:17" x14ac:dyDescent="0.25">
      <c r="A74" s="19" t="s">
        <v>180</v>
      </c>
      <c r="B74" s="18"/>
      <c r="F74" s="17"/>
      <c r="G74" s="17"/>
      <c r="H74" s="17" t="s">
        <v>178</v>
      </c>
    </row>
    <row r="75" spans="1:17" x14ac:dyDescent="0.25">
      <c r="A75" s="19" t="s">
        <v>181</v>
      </c>
      <c r="B75" s="18"/>
      <c r="F75" s="17"/>
      <c r="G75" s="17"/>
      <c r="H75" s="17" t="s">
        <v>179</v>
      </c>
    </row>
    <row r="76" spans="1:17" x14ac:dyDescent="0.25">
      <c r="A76" s="19" t="s">
        <v>182</v>
      </c>
      <c r="B76" s="18"/>
      <c r="F76" s="17"/>
      <c r="G76" s="17"/>
      <c r="H76" s="17" t="s">
        <v>179</v>
      </c>
    </row>
    <row r="77" spans="1:17" x14ac:dyDescent="0.25">
      <c r="A77" s="19"/>
      <c r="B77" s="18"/>
      <c r="C77" s="17"/>
      <c r="D77" s="17"/>
      <c r="E77" s="17"/>
      <c r="F77" s="16"/>
      <c r="H77" s="18"/>
    </row>
    <row r="78" spans="1:17" x14ac:dyDescent="0.25">
      <c r="A78" s="19" t="s">
        <v>120</v>
      </c>
      <c r="B78" s="18"/>
    </row>
    <row r="79" spans="1:17" x14ac:dyDescent="0.25">
      <c r="A79" s="19" t="s">
        <v>149</v>
      </c>
      <c r="B79" s="18"/>
    </row>
    <row r="80" spans="1:17" x14ac:dyDescent="0.25">
      <c r="A80" s="19"/>
      <c r="B80" s="18"/>
    </row>
    <row r="81" spans="1:9" ht="17.25" x14ac:dyDescent="0.25">
      <c r="A81" s="19" t="s">
        <v>143</v>
      </c>
      <c r="B81" s="18"/>
      <c r="E81" s="15">
        <v>8.6</v>
      </c>
      <c r="F81" s="16" t="s">
        <v>142</v>
      </c>
      <c r="G81" s="16" t="s">
        <v>209</v>
      </c>
    </row>
    <row r="82" spans="1:9" x14ac:dyDescent="0.25">
      <c r="A82" s="19" t="s">
        <v>144</v>
      </c>
      <c r="B82" s="18"/>
      <c r="E82" s="19" t="s">
        <v>145</v>
      </c>
    </row>
    <row r="83" spans="1:9" x14ac:dyDescent="0.25">
      <c r="A83" s="35"/>
      <c r="B83" s="36"/>
      <c r="C83" s="37"/>
      <c r="D83" s="37"/>
      <c r="E83" s="37"/>
      <c r="F83" s="37"/>
      <c r="G83" s="37"/>
      <c r="H83" s="37"/>
      <c r="I83" s="37"/>
    </row>
    <row r="84" spans="1:9" x14ac:dyDescent="0.25">
      <c r="A84" s="29"/>
      <c r="B84" s="33" t="s">
        <v>92</v>
      </c>
      <c r="C84" s="33" t="s">
        <v>93</v>
      </c>
      <c r="D84" s="34" t="s">
        <v>94</v>
      </c>
      <c r="E84" s="33" t="s">
        <v>95</v>
      </c>
      <c r="F84" s="33" t="s">
        <v>96</v>
      </c>
      <c r="G84" s="33" t="s">
        <v>97</v>
      </c>
      <c r="H84" s="33" t="s">
        <v>98</v>
      </c>
      <c r="I84" s="32" t="s">
        <v>107</v>
      </c>
    </row>
    <row r="85" spans="1:9" ht="17.25" x14ac:dyDescent="0.25">
      <c r="A85" s="52" t="s">
        <v>206</v>
      </c>
      <c r="B85" s="30">
        <f>+IF(Data!F24-'Měsíční bilance'!E$9&lt;0,0,Data!F24-'Měsíční bilance'!E$9)/30</f>
        <v>1.1000000000000001</v>
      </c>
      <c r="C85" s="30">
        <f>+IF(Data!G24-'Měsíční bilance'!F$9&lt;0,0,Data!G24-'Měsíční bilance'!F$9)/31</f>
        <v>0.45161290322580644</v>
      </c>
      <c r="D85" s="30">
        <f>+IF(Data!H24-'Měsíční bilance'!G$9&lt;0,0,Data!H24-'Měsíční bilance'!G$9)/30</f>
        <v>0.76666666666666672</v>
      </c>
      <c r="E85" s="30">
        <f>+IF(Data!I24-'Měsíční bilance'!H$9&lt;0,0,Data!I24-'Měsíční bilance'!H$9)/31</f>
        <v>0.54838709677419351</v>
      </c>
      <c r="F85" s="30">
        <f>+IF(Data!J24-'Měsíční bilance'!I$9&lt;0,0,Data!J24-'Měsíční bilance'!I$9)/31</f>
        <v>0.74193548387096775</v>
      </c>
      <c r="G85" s="30">
        <f>+IF(Data!K24-'Měsíční bilance'!J$9&lt;0,0,Data!K24-'Měsíční bilance'!J$9)/30</f>
        <v>0.33333333333333331</v>
      </c>
      <c r="H85" s="30"/>
      <c r="I85" t="s">
        <v>210</v>
      </c>
    </row>
    <row r="86" spans="1:9" ht="17.25" x14ac:dyDescent="0.25">
      <c r="A86" s="52" t="s">
        <v>207</v>
      </c>
      <c r="B86" s="30">
        <f>+IF(Data!F25-'Měsíční bilance'!E$9&lt;0,0,Data!F25-'Měsíční bilance'!E$9)/30</f>
        <v>1.0666666666666667</v>
      </c>
      <c r="C86" s="30">
        <f>+IF(Data!G25-'Měsíční bilance'!F$9&lt;0,0,Data!G25-'Měsíční bilance'!F$9)/31</f>
        <v>0.61290322580645162</v>
      </c>
      <c r="D86" s="30">
        <f>+IF(Data!H25-'Měsíční bilance'!G$9&lt;0,0,Data!H25-'Měsíční bilance'!G$9)/30</f>
        <v>0.66666666666666663</v>
      </c>
      <c r="E86" s="30">
        <f>+IF(Data!I25-'Měsíční bilance'!H$9&lt;0,0,Data!I25-'Měsíční bilance'!H$9)/31</f>
        <v>0.38709677419354838</v>
      </c>
      <c r="F86" s="30">
        <f>+IF(Data!J25-'Měsíční bilance'!I$9&lt;0,0,Data!J25-'Měsíční bilance'!I$9)/31</f>
        <v>0.12903225806451613</v>
      </c>
      <c r="G86" s="30">
        <f>+IF(Data!K25-'Měsíční bilance'!J$9&lt;0,0,Data!K25-'Měsíční bilance'!J$9)/30</f>
        <v>6.6666666666666666E-2</v>
      </c>
      <c r="H86" s="30">
        <f>+IF(Data!L25-'Měsíční bilance'!K$9&lt;0,0,Data!L25-'Měsíční bilance'!K$9)/31</f>
        <v>0</v>
      </c>
      <c r="I86" t="s">
        <v>210</v>
      </c>
    </row>
    <row r="87" spans="1:9" ht="17.25" x14ac:dyDescent="0.25">
      <c r="A87" s="92" t="s">
        <v>208</v>
      </c>
      <c r="B87" s="31">
        <f>+IF(Data!F26-'Měsíční bilance'!E$9&lt;0,0,Data!F26-'Měsíční bilance'!E$9)/30</f>
        <v>0.53333333333333333</v>
      </c>
      <c r="C87" s="31">
        <f>+IF(Data!G26-'Měsíční bilance'!F$9&lt;0,0,Data!G26-'Měsíční bilance'!F$9)/31</f>
        <v>0.35483870967741937</v>
      </c>
      <c r="D87" s="31">
        <f>+IF(Data!H26-'Měsíční bilance'!G$9&lt;0,0,Data!H26-'Měsíční bilance'!G$9)/30</f>
        <v>0.6</v>
      </c>
      <c r="E87" s="31">
        <f>+IF(Data!I26-'Měsíční bilance'!H$9&lt;0,0,Data!I26-'Měsíční bilance'!H$9)/31</f>
        <v>0.25806451612903225</v>
      </c>
      <c r="F87" s="31">
        <f>+IF(Data!J26-'Měsíční bilance'!I$9&lt;0,0,Data!J26-'Měsíční bilance'!I$9)/31</f>
        <v>0.83870967741935487</v>
      </c>
      <c r="G87" s="31">
        <f>+IF(Data!K26-'Měsíční bilance'!J$9&lt;0,0,Data!K26-'Měsíční bilance'!J$9)/30</f>
        <v>0.83333333333333337</v>
      </c>
      <c r="H87" s="31">
        <f>+IF(Data!L26-'Měsíční bilance'!K$9&lt;0,0,Data!L26-'Měsíční bilance'!K$9)/31</f>
        <v>0</v>
      </c>
      <c r="I87" s="29" t="s">
        <v>210</v>
      </c>
    </row>
    <row r="88" spans="1:9" x14ac:dyDescent="0.25">
      <c r="A88" s="19"/>
    </row>
    <row r="89" spans="1:9" x14ac:dyDescent="0.25">
      <c r="A89" s="19"/>
    </row>
    <row r="90" spans="1:9" x14ac:dyDescent="0.25">
      <c r="A90" s="19"/>
    </row>
  </sheetData>
  <mergeCells count="17">
    <mergeCell ref="B34:M34"/>
    <mergeCell ref="B18:M18"/>
    <mergeCell ref="B31:M31"/>
    <mergeCell ref="B27:M27"/>
    <mergeCell ref="B23:M23"/>
    <mergeCell ref="B19:M19"/>
    <mergeCell ref="B30:M30"/>
    <mergeCell ref="B15:M15"/>
    <mergeCell ref="B3:M3"/>
    <mergeCell ref="B14:M14"/>
    <mergeCell ref="B13:M13"/>
    <mergeCell ref="B29:M29"/>
    <mergeCell ref="B25:M25"/>
    <mergeCell ref="B26:M26"/>
    <mergeCell ref="B21:M21"/>
    <mergeCell ref="B22:M22"/>
    <mergeCell ref="B17:M17"/>
  </mergeCells>
  <dataValidations count="1">
    <dataValidation type="list" allowBlank="1" showInputMessage="1" showErrorMessage="1" sqref="B68:M68" xr:uid="{00000000-0002-0000-0200-000000000000}">
      <formula1>"ano, ne"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Data!$A$4:$A$17</xm:f>
          </x14:formula1>
          <xm:sqref>B3:M3</xm:sqref>
        </x14:dataValidation>
        <x14:dataValidation type="list" allowBlank="1" showInputMessage="1" showErrorMessage="1" xr:uid="{00000000-0002-0000-0200-000002000000}">
          <x14:formula1>
            <xm:f>Data!$A$32:$A$56</xm:f>
          </x14:formula1>
          <xm:sqref>B13:M13 B17:M17 B21:M21 B25:M25 B29:M29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56"/>
  <sheetViews>
    <sheetView workbookViewId="0">
      <selection activeCell="A2" sqref="A2"/>
    </sheetView>
  </sheetViews>
  <sheetFormatPr defaultRowHeight="15" x14ac:dyDescent="0.25"/>
  <cols>
    <col min="1" max="1" width="70.5703125" customWidth="1"/>
    <col min="2" max="2" width="19.42578125" customWidth="1"/>
    <col min="3" max="14" width="5.7109375" customWidth="1"/>
  </cols>
  <sheetData>
    <row r="1" spans="1:14" x14ac:dyDescent="0.25">
      <c r="A1" s="3" t="s">
        <v>134</v>
      </c>
    </row>
    <row r="2" spans="1:14" x14ac:dyDescent="0.25">
      <c r="A2" s="3"/>
    </row>
    <row r="3" spans="1:14" ht="18" x14ac:dyDescent="0.35">
      <c r="A3" s="3" t="s">
        <v>141</v>
      </c>
      <c r="B3" s="4" t="s">
        <v>18</v>
      </c>
      <c r="C3" s="5" t="s">
        <v>89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5" t="s">
        <v>97</v>
      </c>
      <c r="L3" s="5" t="s">
        <v>98</v>
      </c>
      <c r="M3" s="5" t="s">
        <v>99</v>
      </c>
      <c r="N3" s="5" t="s">
        <v>100</v>
      </c>
    </row>
    <row r="4" spans="1:14" x14ac:dyDescent="0.25">
      <c r="A4" t="s">
        <v>3</v>
      </c>
      <c r="B4">
        <f>+SUM(C4:N4)</f>
        <v>583</v>
      </c>
      <c r="C4">
        <v>33</v>
      </c>
      <c r="D4">
        <v>28</v>
      </c>
      <c r="E4">
        <v>38</v>
      </c>
      <c r="F4">
        <v>31</v>
      </c>
      <c r="G4">
        <v>64</v>
      </c>
      <c r="H4">
        <v>77</v>
      </c>
      <c r="I4">
        <v>79</v>
      </c>
      <c r="J4">
        <v>72</v>
      </c>
      <c r="K4">
        <v>48</v>
      </c>
      <c r="L4">
        <v>41</v>
      </c>
      <c r="M4">
        <v>36</v>
      </c>
      <c r="N4">
        <v>36</v>
      </c>
    </row>
    <row r="5" spans="1:14" x14ac:dyDescent="0.25">
      <c r="A5" t="s">
        <v>4</v>
      </c>
      <c r="B5">
        <f t="shared" ref="B5:B17" si="0">+SUM(C5:N5)</f>
        <v>693</v>
      </c>
      <c r="C5">
        <v>42</v>
      </c>
      <c r="D5">
        <v>33</v>
      </c>
      <c r="E5">
        <v>47</v>
      </c>
      <c r="F5">
        <v>39</v>
      </c>
      <c r="G5">
        <v>75</v>
      </c>
      <c r="H5">
        <v>92</v>
      </c>
      <c r="I5">
        <v>94</v>
      </c>
      <c r="J5">
        <v>85</v>
      </c>
      <c r="K5">
        <v>56</v>
      </c>
      <c r="L5">
        <v>48</v>
      </c>
      <c r="M5">
        <v>41</v>
      </c>
      <c r="N5">
        <v>41</v>
      </c>
    </row>
    <row r="6" spans="1:14" x14ac:dyDescent="0.25">
      <c r="A6" t="s">
        <v>5</v>
      </c>
      <c r="B6">
        <f t="shared" si="0"/>
        <v>561</v>
      </c>
      <c r="C6">
        <v>29</v>
      </c>
      <c r="D6">
        <v>25</v>
      </c>
      <c r="E6">
        <v>35</v>
      </c>
      <c r="F6">
        <v>33</v>
      </c>
      <c r="G6">
        <v>61</v>
      </c>
      <c r="H6">
        <v>71</v>
      </c>
      <c r="I6">
        <v>76</v>
      </c>
      <c r="J6">
        <v>66</v>
      </c>
      <c r="K6">
        <v>56</v>
      </c>
      <c r="L6">
        <v>40</v>
      </c>
      <c r="M6">
        <v>36</v>
      </c>
      <c r="N6">
        <v>33</v>
      </c>
    </row>
    <row r="7" spans="1:14" x14ac:dyDescent="0.25">
      <c r="A7" t="s">
        <v>6</v>
      </c>
      <c r="B7">
        <f t="shared" si="0"/>
        <v>728</v>
      </c>
      <c r="C7">
        <v>57</v>
      </c>
      <c r="D7">
        <v>45</v>
      </c>
      <c r="E7">
        <v>52</v>
      </c>
      <c r="F7">
        <v>39</v>
      </c>
      <c r="G7">
        <v>63</v>
      </c>
      <c r="H7">
        <v>77</v>
      </c>
      <c r="I7">
        <v>84</v>
      </c>
      <c r="J7">
        <v>76</v>
      </c>
      <c r="K7">
        <v>63</v>
      </c>
      <c r="L7">
        <v>55</v>
      </c>
      <c r="M7">
        <v>55</v>
      </c>
      <c r="N7">
        <v>62</v>
      </c>
    </row>
    <row r="8" spans="1:14" x14ac:dyDescent="0.25">
      <c r="A8" t="s">
        <v>7</v>
      </c>
      <c r="B8">
        <f t="shared" si="0"/>
        <v>732</v>
      </c>
      <c r="C8">
        <v>56</v>
      </c>
      <c r="D8">
        <v>45</v>
      </c>
      <c r="E8">
        <v>53</v>
      </c>
      <c r="F8">
        <v>37</v>
      </c>
      <c r="G8">
        <v>69</v>
      </c>
      <c r="H8">
        <v>77</v>
      </c>
      <c r="I8">
        <v>93</v>
      </c>
      <c r="J8">
        <v>77</v>
      </c>
      <c r="K8">
        <v>60</v>
      </c>
      <c r="L8">
        <v>54</v>
      </c>
      <c r="M8">
        <v>52</v>
      </c>
      <c r="N8">
        <v>59</v>
      </c>
    </row>
    <row r="9" spans="1:14" x14ac:dyDescent="0.25">
      <c r="A9" t="s">
        <v>8</v>
      </c>
      <c r="B9">
        <f t="shared" si="0"/>
        <v>849</v>
      </c>
      <c r="C9">
        <v>72</v>
      </c>
      <c r="D9">
        <v>57</v>
      </c>
      <c r="E9">
        <v>63</v>
      </c>
      <c r="F9">
        <v>41</v>
      </c>
      <c r="G9">
        <v>70</v>
      </c>
      <c r="H9">
        <v>87</v>
      </c>
      <c r="I9">
        <v>99</v>
      </c>
      <c r="J9">
        <v>91</v>
      </c>
      <c r="K9">
        <v>68</v>
      </c>
      <c r="L9">
        <v>63</v>
      </c>
      <c r="M9">
        <v>65</v>
      </c>
      <c r="N9">
        <v>73</v>
      </c>
    </row>
    <row r="10" spans="1:14" x14ac:dyDescent="0.25">
      <c r="A10" t="s">
        <v>9</v>
      </c>
      <c r="B10">
        <f t="shared" si="0"/>
        <v>811</v>
      </c>
      <c r="C10">
        <v>43</v>
      </c>
      <c r="D10">
        <v>42</v>
      </c>
      <c r="E10">
        <v>51</v>
      </c>
      <c r="F10">
        <v>52</v>
      </c>
      <c r="G10">
        <v>90</v>
      </c>
      <c r="H10">
        <v>99</v>
      </c>
      <c r="I10">
        <v>110</v>
      </c>
      <c r="J10">
        <v>84</v>
      </c>
      <c r="K10">
        <v>83</v>
      </c>
      <c r="L10">
        <v>60</v>
      </c>
      <c r="M10">
        <v>51</v>
      </c>
      <c r="N10">
        <v>46</v>
      </c>
    </row>
    <row r="11" spans="1:14" x14ac:dyDescent="0.25">
      <c r="A11" t="s">
        <v>10</v>
      </c>
      <c r="B11">
        <f t="shared" si="0"/>
        <v>718</v>
      </c>
      <c r="C11">
        <v>45</v>
      </c>
      <c r="D11">
        <v>39</v>
      </c>
      <c r="E11">
        <v>48</v>
      </c>
      <c r="F11">
        <v>43</v>
      </c>
      <c r="G11">
        <v>75</v>
      </c>
      <c r="H11">
        <v>84</v>
      </c>
      <c r="I11">
        <v>95</v>
      </c>
      <c r="J11">
        <v>74</v>
      </c>
      <c r="K11">
        <v>69</v>
      </c>
      <c r="L11">
        <v>52</v>
      </c>
      <c r="M11">
        <v>48</v>
      </c>
      <c r="N11">
        <v>46</v>
      </c>
    </row>
    <row r="12" spans="1:14" x14ac:dyDescent="0.25">
      <c r="A12" t="s">
        <v>11</v>
      </c>
      <c r="B12">
        <f t="shared" si="0"/>
        <v>702</v>
      </c>
      <c r="C12">
        <v>48</v>
      </c>
      <c r="D12">
        <v>39</v>
      </c>
      <c r="E12">
        <v>49</v>
      </c>
      <c r="F12">
        <v>38</v>
      </c>
      <c r="G12">
        <v>72</v>
      </c>
      <c r="H12">
        <v>79</v>
      </c>
      <c r="I12">
        <v>95</v>
      </c>
      <c r="J12">
        <v>77</v>
      </c>
      <c r="K12">
        <v>62</v>
      </c>
      <c r="L12">
        <v>48</v>
      </c>
      <c r="M12">
        <v>46</v>
      </c>
      <c r="N12">
        <v>49</v>
      </c>
    </row>
    <row r="13" spans="1:14" x14ac:dyDescent="0.25">
      <c r="A13" t="s">
        <v>12</v>
      </c>
      <c r="B13">
        <f t="shared" si="0"/>
        <v>686</v>
      </c>
      <c r="C13">
        <v>46</v>
      </c>
      <c r="D13">
        <v>37</v>
      </c>
      <c r="E13">
        <v>46</v>
      </c>
      <c r="F13">
        <v>40</v>
      </c>
      <c r="G13">
        <v>68</v>
      </c>
      <c r="H13">
        <v>85</v>
      </c>
      <c r="I13">
        <v>86</v>
      </c>
      <c r="J13">
        <v>80</v>
      </c>
      <c r="K13">
        <v>53</v>
      </c>
      <c r="L13">
        <v>50</v>
      </c>
      <c r="M13">
        <v>45</v>
      </c>
      <c r="N13">
        <v>50</v>
      </c>
    </row>
    <row r="14" spans="1:14" x14ac:dyDescent="0.25">
      <c r="A14" t="s">
        <v>13</v>
      </c>
      <c r="B14">
        <f t="shared" si="0"/>
        <v>583</v>
      </c>
      <c r="C14">
        <v>33</v>
      </c>
      <c r="D14">
        <v>28</v>
      </c>
      <c r="E14">
        <v>38</v>
      </c>
      <c r="F14">
        <v>31</v>
      </c>
      <c r="G14">
        <v>64</v>
      </c>
      <c r="H14">
        <v>77</v>
      </c>
      <c r="I14">
        <v>79</v>
      </c>
      <c r="J14">
        <v>72</v>
      </c>
      <c r="K14">
        <v>48</v>
      </c>
      <c r="L14">
        <v>41</v>
      </c>
      <c r="M14">
        <v>36</v>
      </c>
      <c r="N14">
        <v>36</v>
      </c>
    </row>
    <row r="15" spans="1:14" x14ac:dyDescent="0.25">
      <c r="A15" t="s">
        <v>14</v>
      </c>
      <c r="B15">
        <f t="shared" si="0"/>
        <v>642</v>
      </c>
      <c r="C15">
        <v>43</v>
      </c>
      <c r="D15">
        <v>35</v>
      </c>
      <c r="E15">
        <v>42</v>
      </c>
      <c r="F15">
        <v>33</v>
      </c>
      <c r="G15">
        <v>62</v>
      </c>
      <c r="H15">
        <v>75</v>
      </c>
      <c r="I15">
        <v>81</v>
      </c>
      <c r="J15">
        <v>78</v>
      </c>
      <c r="K15">
        <v>54</v>
      </c>
      <c r="L15">
        <v>47</v>
      </c>
      <c r="M15">
        <v>45</v>
      </c>
      <c r="N15">
        <v>47</v>
      </c>
    </row>
    <row r="16" spans="1:14" x14ac:dyDescent="0.25">
      <c r="A16" t="s">
        <v>15</v>
      </c>
      <c r="B16">
        <f t="shared" si="0"/>
        <v>675</v>
      </c>
      <c r="C16">
        <v>45</v>
      </c>
      <c r="D16">
        <v>36</v>
      </c>
      <c r="E16">
        <v>47</v>
      </c>
      <c r="F16">
        <v>37</v>
      </c>
      <c r="G16">
        <v>71</v>
      </c>
      <c r="H16">
        <v>80</v>
      </c>
      <c r="I16">
        <v>89</v>
      </c>
      <c r="J16">
        <v>79</v>
      </c>
      <c r="K16">
        <v>59</v>
      </c>
      <c r="L16">
        <v>46</v>
      </c>
      <c r="M16">
        <v>43</v>
      </c>
      <c r="N16">
        <v>43</v>
      </c>
    </row>
    <row r="17" spans="1:14" x14ac:dyDescent="0.25">
      <c r="A17" t="s">
        <v>16</v>
      </c>
      <c r="B17">
        <f t="shared" si="0"/>
        <v>771</v>
      </c>
      <c r="C17">
        <v>48</v>
      </c>
      <c r="D17">
        <v>46</v>
      </c>
      <c r="E17">
        <v>51</v>
      </c>
      <c r="F17">
        <v>50</v>
      </c>
      <c r="G17">
        <v>79</v>
      </c>
      <c r="H17">
        <v>87</v>
      </c>
      <c r="I17">
        <v>98</v>
      </c>
      <c r="J17">
        <v>75</v>
      </c>
      <c r="K17">
        <v>73</v>
      </c>
      <c r="L17">
        <v>58</v>
      </c>
      <c r="M17">
        <v>53</v>
      </c>
      <c r="N17">
        <v>53</v>
      </c>
    </row>
    <row r="20" spans="1:14" x14ac:dyDescent="0.25">
      <c r="A20" s="3" t="s">
        <v>138</v>
      </c>
    </row>
    <row r="22" spans="1:14" x14ac:dyDescent="0.25">
      <c r="A22" s="20" t="s">
        <v>140</v>
      </c>
      <c r="C22" s="96" t="s">
        <v>139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spans="1:14" x14ac:dyDescent="0.25">
      <c r="C23" s="5" t="s">
        <v>89</v>
      </c>
      <c r="D23" s="5" t="s">
        <v>90</v>
      </c>
      <c r="E23" s="5" t="s">
        <v>91</v>
      </c>
      <c r="F23" s="5" t="s">
        <v>92</v>
      </c>
      <c r="G23" s="5" t="s">
        <v>93</v>
      </c>
      <c r="H23" s="5" t="s">
        <v>94</v>
      </c>
      <c r="I23" s="5" t="s">
        <v>95</v>
      </c>
      <c r="J23" s="5" t="s">
        <v>96</v>
      </c>
      <c r="K23" s="5" t="s">
        <v>97</v>
      </c>
      <c r="L23" s="5" t="s">
        <v>98</v>
      </c>
      <c r="M23" s="5" t="s">
        <v>99</v>
      </c>
      <c r="N23" s="5" t="s">
        <v>100</v>
      </c>
    </row>
    <row r="24" spans="1:14" x14ac:dyDescent="0.25">
      <c r="A24" t="s">
        <v>206</v>
      </c>
      <c r="F24" s="39">
        <v>70</v>
      </c>
      <c r="G24" s="39">
        <v>83</v>
      </c>
      <c r="H24" s="39">
        <v>100</v>
      </c>
      <c r="I24" s="39">
        <v>110</v>
      </c>
      <c r="J24" s="39">
        <v>100</v>
      </c>
      <c r="K24" s="39">
        <v>70</v>
      </c>
    </row>
    <row r="25" spans="1:14" x14ac:dyDescent="0.25">
      <c r="A25" t="s">
        <v>207</v>
      </c>
      <c r="F25" s="39">
        <v>69</v>
      </c>
      <c r="G25" s="39">
        <v>88</v>
      </c>
      <c r="H25" s="39">
        <v>97</v>
      </c>
      <c r="I25" s="39">
        <v>105</v>
      </c>
      <c r="J25" s="39">
        <v>81</v>
      </c>
      <c r="K25" s="39">
        <v>62</v>
      </c>
      <c r="L25" s="39">
        <v>53</v>
      </c>
    </row>
    <row r="26" spans="1:14" x14ac:dyDescent="0.25">
      <c r="A26" t="s">
        <v>208</v>
      </c>
      <c r="F26" s="39">
        <v>53</v>
      </c>
      <c r="G26" s="39">
        <v>80</v>
      </c>
      <c r="H26" s="39">
        <v>95</v>
      </c>
      <c r="I26" s="39">
        <v>101</v>
      </c>
      <c r="J26" s="39">
        <v>103</v>
      </c>
      <c r="K26" s="39">
        <v>85</v>
      </c>
      <c r="L26" s="39">
        <v>34</v>
      </c>
    </row>
    <row r="29" spans="1:14" x14ac:dyDescent="0.25">
      <c r="A29" s="3" t="s">
        <v>53</v>
      </c>
    </row>
    <row r="31" spans="1:14" ht="18" x14ac:dyDescent="0.35">
      <c r="A31" s="3" t="s">
        <v>52</v>
      </c>
      <c r="B31" s="10" t="s">
        <v>77</v>
      </c>
    </row>
    <row r="32" spans="1:14" x14ac:dyDescent="0.25">
      <c r="A32" s="12" t="s">
        <v>85</v>
      </c>
      <c r="B32" s="10"/>
    </row>
    <row r="33" spans="1:2" x14ac:dyDescent="0.25">
      <c r="A33" s="9" t="s">
        <v>56</v>
      </c>
      <c r="B33" s="11">
        <v>0.95</v>
      </c>
    </row>
    <row r="34" spans="1:2" x14ac:dyDescent="0.25">
      <c r="A34" s="9" t="s">
        <v>55</v>
      </c>
      <c r="B34" s="11">
        <v>0.9</v>
      </c>
    </row>
    <row r="35" spans="1:2" x14ac:dyDescent="0.25">
      <c r="A35" s="9" t="s">
        <v>54</v>
      </c>
      <c r="B35" s="11">
        <v>0.95</v>
      </c>
    </row>
    <row r="36" spans="1:2" x14ac:dyDescent="0.25">
      <c r="A36" s="9" t="s">
        <v>57</v>
      </c>
      <c r="B36" s="11">
        <v>0.9</v>
      </c>
    </row>
    <row r="37" spans="1:2" x14ac:dyDescent="0.25">
      <c r="A37" s="9" t="s">
        <v>58</v>
      </c>
      <c r="B37" s="11">
        <v>0.65</v>
      </c>
    </row>
    <row r="38" spans="1:2" x14ac:dyDescent="0.25">
      <c r="A38" s="9" t="s">
        <v>59</v>
      </c>
      <c r="B38" s="11">
        <v>0.55000000000000004</v>
      </c>
    </row>
    <row r="39" spans="1:2" x14ac:dyDescent="0.25">
      <c r="A39" s="9" t="s">
        <v>60</v>
      </c>
      <c r="B39" s="11">
        <v>0.5</v>
      </c>
    </row>
    <row r="40" spans="1:2" x14ac:dyDescent="0.25">
      <c r="A40" s="9" t="s">
        <v>61</v>
      </c>
      <c r="B40" s="11">
        <v>0.45</v>
      </c>
    </row>
    <row r="41" spans="1:2" x14ac:dyDescent="0.25">
      <c r="A41" s="9" t="s">
        <v>62</v>
      </c>
      <c r="B41" s="11">
        <v>0.4</v>
      </c>
    </row>
    <row r="42" spans="1:2" x14ac:dyDescent="0.25">
      <c r="A42" s="9" t="s">
        <v>63</v>
      </c>
      <c r="B42" s="11">
        <v>0.3</v>
      </c>
    </row>
    <row r="43" spans="1:2" x14ac:dyDescent="0.25">
      <c r="A43" s="9" t="s">
        <v>64</v>
      </c>
      <c r="B43" s="11">
        <v>0.1</v>
      </c>
    </row>
    <row r="44" spans="1:2" x14ac:dyDescent="0.25">
      <c r="A44" s="9" t="s">
        <v>65</v>
      </c>
      <c r="B44" s="11">
        <v>0.9</v>
      </c>
    </row>
    <row r="45" spans="1:2" x14ac:dyDescent="0.25">
      <c r="A45" s="9" t="s">
        <v>66</v>
      </c>
      <c r="B45" s="11">
        <v>0.75</v>
      </c>
    </row>
    <row r="46" spans="1:2" x14ac:dyDescent="0.25">
      <c r="A46" s="9" t="s">
        <v>67</v>
      </c>
      <c r="B46" s="11">
        <v>0.6</v>
      </c>
    </row>
    <row r="47" spans="1:2" x14ac:dyDescent="0.25">
      <c r="A47" s="9" t="s">
        <v>68</v>
      </c>
      <c r="B47" s="11">
        <v>0.5</v>
      </c>
    </row>
    <row r="48" spans="1:2" x14ac:dyDescent="0.25">
      <c r="A48" s="9" t="s">
        <v>69</v>
      </c>
      <c r="B48" s="11">
        <v>0.4</v>
      </c>
    </row>
    <row r="49" spans="1:2" x14ac:dyDescent="0.25">
      <c r="A49" s="9" t="s">
        <v>70</v>
      </c>
      <c r="B49" s="11">
        <v>0.3</v>
      </c>
    </row>
    <row r="50" spans="1:2" x14ac:dyDescent="0.25">
      <c r="A50" s="9" t="s">
        <v>71</v>
      </c>
      <c r="B50" s="11">
        <v>0.3</v>
      </c>
    </row>
    <row r="51" spans="1:2" x14ac:dyDescent="0.25">
      <c r="A51" s="9" t="s">
        <v>151</v>
      </c>
      <c r="B51" s="11">
        <v>0.2</v>
      </c>
    </row>
    <row r="52" spans="1:2" x14ac:dyDescent="0.25">
      <c r="A52" s="9" t="s">
        <v>72</v>
      </c>
      <c r="B52" s="11">
        <v>0.5</v>
      </c>
    </row>
    <row r="53" spans="1:2" x14ac:dyDescent="0.25">
      <c r="A53" s="9" t="s">
        <v>73</v>
      </c>
      <c r="B53" s="11">
        <v>0.4</v>
      </c>
    </row>
    <row r="54" spans="1:2" x14ac:dyDescent="0.25">
      <c r="A54" s="9" t="s">
        <v>74</v>
      </c>
      <c r="B54" s="11">
        <v>0.3</v>
      </c>
    </row>
    <row r="55" spans="1:2" x14ac:dyDescent="0.25">
      <c r="A55" s="9" t="s">
        <v>75</v>
      </c>
      <c r="B55" s="11">
        <v>0.05</v>
      </c>
    </row>
    <row r="56" spans="1:2" x14ac:dyDescent="0.25">
      <c r="A56" s="9" t="s">
        <v>76</v>
      </c>
      <c r="B56" s="11">
        <v>0.2</v>
      </c>
    </row>
  </sheetData>
  <mergeCells count="1">
    <mergeCell ref="C22:N2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</vt:lpstr>
      <vt:lpstr>Roční bilance</vt:lpstr>
      <vt:lpstr>Měsíční bilance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Stransky</dc:creator>
  <cp:lastModifiedBy>Polak Bohdan</cp:lastModifiedBy>
  <dcterms:created xsi:type="dcterms:W3CDTF">2021-12-12T16:31:37Z</dcterms:created>
  <dcterms:modified xsi:type="dcterms:W3CDTF">2026-03-24T07:38:34Z</dcterms:modified>
</cp:coreProperties>
</file>